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0" yWindow="0" windowWidth="20730" windowHeight="11760" activeTab="1"/>
  </bookViews>
  <sheets>
    <sheet name="Φύλλο1" sheetId="1" r:id="rId1"/>
    <sheet name="Φορτία Υποβολών" sheetId="2" r:id="rId2"/>
  </sheets>
  <calcPr calcId="144525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2" i="2" l="1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Y22" i="2"/>
  <c r="X22" i="2"/>
  <c r="W22" i="2"/>
  <c r="F22" i="2"/>
  <c r="G22" i="2"/>
  <c r="H22" i="2"/>
  <c r="U21" i="2"/>
  <c r="T21" i="2"/>
  <c r="R21" i="2"/>
  <c r="Q21" i="2"/>
  <c r="P21" i="2"/>
  <c r="O21" i="2"/>
  <c r="S21" i="2"/>
  <c r="N21" i="2"/>
  <c r="M21" i="2"/>
  <c r="L21" i="2"/>
  <c r="K21" i="2"/>
  <c r="J21" i="2"/>
  <c r="I21" i="2"/>
  <c r="H21" i="2"/>
  <c r="G21" i="2"/>
  <c r="F21" i="2"/>
  <c r="Y19" i="2"/>
  <c r="W19" i="2"/>
  <c r="T19" i="2"/>
  <c r="S19" i="2"/>
  <c r="R19" i="2"/>
  <c r="Q19" i="2"/>
  <c r="P19" i="2"/>
  <c r="O19" i="2"/>
  <c r="N19" i="2"/>
  <c r="M19" i="2"/>
  <c r="L19" i="2"/>
  <c r="U19" i="2"/>
  <c r="V19" i="2"/>
  <c r="X19" i="2"/>
  <c r="P16" i="2"/>
  <c r="M16" i="2"/>
  <c r="Q16" i="2"/>
  <c r="O16" i="2"/>
  <c r="N16" i="2"/>
  <c r="I16" i="2"/>
  <c r="O15" i="2"/>
  <c r="R15" i="2"/>
  <c r="S15" i="2"/>
  <c r="T15" i="2"/>
  <c r="U15" i="2"/>
  <c r="Q15" i="2"/>
  <c r="P15" i="2"/>
  <c r="N15" i="2"/>
  <c r="M15" i="2"/>
  <c r="L15" i="2"/>
  <c r="Q9" i="2"/>
  <c r="R9" i="2"/>
  <c r="S9" i="2"/>
  <c r="J9" i="2"/>
  <c r="K9" i="2"/>
  <c r="L9" i="2"/>
  <c r="M9" i="2"/>
  <c r="N9" i="2"/>
  <c r="O9" i="2"/>
  <c r="P9" i="2"/>
  <c r="T8" i="2"/>
  <c r="U8" i="2"/>
  <c r="V8" i="2"/>
  <c r="W8" i="2"/>
  <c r="X8" i="2"/>
  <c r="Y8" i="2"/>
  <c r="Y7" i="2"/>
  <c r="X7" i="2"/>
  <c r="W7" i="2"/>
  <c r="V7" i="2"/>
  <c r="U7" i="2"/>
  <c r="T6" i="2"/>
  <c r="U6" i="2"/>
  <c r="R6" i="2"/>
  <c r="S6" i="2"/>
  <c r="P6" i="2"/>
  <c r="Q6" i="2"/>
  <c r="O6" i="2"/>
  <c r="N6" i="2"/>
  <c r="Z5" i="2"/>
  <c r="Y5" i="2"/>
  <c r="X5" i="2"/>
  <c r="T5" i="2"/>
  <c r="S5" i="2"/>
  <c r="R5" i="2"/>
  <c r="Q5" i="2"/>
  <c r="P18" i="2"/>
  <c r="Q18" i="2"/>
  <c r="R18" i="2"/>
  <c r="S18" i="2"/>
  <c r="T18" i="2"/>
  <c r="U18" i="2"/>
  <c r="T17" i="2"/>
  <c r="U17" i="2"/>
  <c r="S17" i="2"/>
  <c r="R17" i="2"/>
  <c r="Q17" i="2"/>
  <c r="P17" i="2"/>
  <c r="U29" i="2"/>
  <c r="T29" i="2"/>
  <c r="S29" i="2"/>
  <c r="R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Q29" i="2"/>
  <c r="P29" i="2"/>
  <c r="O29" i="2"/>
  <c r="N29" i="2"/>
  <c r="M29" i="2"/>
  <c r="L29" i="2"/>
  <c r="K29" i="2"/>
  <c r="J29" i="2"/>
  <c r="I29" i="2"/>
  <c r="H29" i="2"/>
  <c r="G29" i="2"/>
  <c r="F29" i="2"/>
  <c r="BE23" i="2"/>
  <c r="BE27" i="2"/>
  <c r="BE3" i="2"/>
  <c r="AT23" i="2"/>
  <c r="AT26" i="2"/>
  <c r="AT27" i="2"/>
  <c r="AT3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G23" i="2"/>
  <c r="AG3" i="2"/>
  <c r="AH27" i="2"/>
  <c r="AI27" i="2"/>
  <c r="AJ27" i="2"/>
  <c r="AK27" i="2"/>
  <c r="AL27" i="2"/>
  <c r="AL23" i="2"/>
  <c r="AL26" i="2"/>
  <c r="AL3" i="2"/>
  <c r="AM27" i="2"/>
  <c r="AN27" i="2"/>
  <c r="AO27" i="2"/>
  <c r="AP27" i="2"/>
  <c r="AQ27" i="2"/>
  <c r="AR27" i="2"/>
  <c r="AS27" i="2"/>
  <c r="AU27" i="2"/>
  <c r="AV27" i="2"/>
  <c r="AW27" i="2"/>
  <c r="AX27" i="2"/>
  <c r="AY27" i="2"/>
  <c r="AZ27" i="2"/>
  <c r="BA27" i="2"/>
  <c r="BB27" i="2"/>
  <c r="BC27" i="2"/>
  <c r="BD27" i="2"/>
  <c r="J27" i="2"/>
  <c r="K27" i="2"/>
  <c r="L27" i="2"/>
  <c r="M27" i="2"/>
  <c r="I27" i="2"/>
  <c r="H27" i="2"/>
  <c r="F27" i="2"/>
  <c r="G27" i="2"/>
  <c r="G25" i="2"/>
  <c r="G26" i="2"/>
  <c r="G3" i="2"/>
  <c r="BD25" i="2"/>
  <c r="BC25" i="2"/>
  <c r="BB25" i="2"/>
  <c r="AR25" i="2"/>
  <c r="AQ25" i="2"/>
  <c r="AP25" i="2"/>
  <c r="AF25" i="2"/>
  <c r="AE25" i="2"/>
  <c r="AD25" i="2"/>
  <c r="AD23" i="2"/>
  <c r="AD26" i="2"/>
  <c r="AD3" i="2"/>
  <c r="T25" i="2"/>
  <c r="S25" i="2"/>
  <c r="R25" i="2"/>
  <c r="BB26" i="2"/>
  <c r="BC26" i="2"/>
  <c r="BD26" i="2"/>
  <c r="Z26" i="2"/>
  <c r="AA26" i="2"/>
  <c r="AB26" i="2"/>
  <c r="AE26" i="2"/>
  <c r="AF26" i="2"/>
  <c r="AH26" i="2"/>
  <c r="AH23" i="2"/>
  <c r="AH3" i="2"/>
  <c r="AI26" i="2"/>
  <c r="AJ26" i="2"/>
  <c r="AM26" i="2"/>
  <c r="AN26" i="2"/>
  <c r="AP26" i="2"/>
  <c r="AQ26" i="2"/>
  <c r="AR26" i="2"/>
  <c r="AU26" i="2"/>
  <c r="AV26" i="2"/>
  <c r="AX26" i="2"/>
  <c r="AX23" i="2"/>
  <c r="AX3" i="2"/>
  <c r="AY26" i="2"/>
  <c r="AZ26" i="2"/>
  <c r="J26" i="2"/>
  <c r="K26" i="2"/>
  <c r="L26" i="2"/>
  <c r="N26" i="2"/>
  <c r="O26" i="2"/>
  <c r="P26" i="2"/>
  <c r="R26" i="2"/>
  <c r="S26" i="2"/>
  <c r="T26" i="2"/>
  <c r="V26" i="2"/>
  <c r="W26" i="2"/>
  <c r="X26" i="2"/>
  <c r="F26" i="2"/>
  <c r="H26" i="2"/>
  <c r="H25" i="2"/>
  <c r="F25" i="2"/>
  <c r="BC23" i="2"/>
  <c r="BD23" i="2"/>
  <c r="BD3" i="2"/>
  <c r="W23" i="2"/>
  <c r="V23" i="2"/>
  <c r="U23" i="2"/>
  <c r="T23" i="2"/>
  <c r="BB23" i="2"/>
  <c r="BB3" i="2"/>
  <c r="AI23" i="2"/>
  <c r="AJ23" i="2"/>
  <c r="AJ3" i="2"/>
  <c r="AK23" i="2"/>
  <c r="AK3" i="2"/>
  <c r="AM23" i="2"/>
  <c r="AN23" i="2"/>
  <c r="AN3" i="2"/>
  <c r="AO23" i="2"/>
  <c r="AO3" i="2"/>
  <c r="AP23" i="2"/>
  <c r="AQ23" i="2"/>
  <c r="AR23" i="2"/>
  <c r="AR3" i="2"/>
  <c r="AS23" i="2"/>
  <c r="AS3" i="2"/>
  <c r="AU23" i="2"/>
  <c r="AV23" i="2"/>
  <c r="AV3" i="2"/>
  <c r="AW23" i="2"/>
  <c r="AW3" i="2"/>
  <c r="AY23" i="2"/>
  <c r="AZ23" i="2"/>
  <c r="AZ3" i="2"/>
  <c r="BA23" i="2"/>
  <c r="BA3" i="2"/>
  <c r="X23" i="2"/>
  <c r="Y23" i="2"/>
  <c r="Z23" i="2"/>
  <c r="AA23" i="2"/>
  <c r="AB23" i="2"/>
  <c r="AC23" i="2"/>
  <c r="AE23" i="2"/>
  <c r="AF23" i="2"/>
  <c r="AF3" i="2"/>
  <c r="Y10" i="2"/>
  <c r="Y11" i="2"/>
  <c r="Y3" i="2"/>
  <c r="X20" i="2"/>
  <c r="W20" i="2"/>
  <c r="V20" i="2"/>
  <c r="U20" i="2"/>
  <c r="T20" i="2"/>
  <c r="S20" i="2"/>
  <c r="R20" i="2"/>
  <c r="J16" i="2"/>
  <c r="K16" i="2"/>
  <c r="L16" i="2"/>
  <c r="K15" i="2"/>
  <c r="J15" i="2"/>
  <c r="I3" i="2"/>
  <c r="H3" i="2"/>
  <c r="F3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Z11" i="2"/>
  <c r="AA11" i="2"/>
  <c r="AB11" i="2"/>
  <c r="AC11" i="2"/>
  <c r="AC5" i="2"/>
  <c r="AC10" i="2"/>
  <c r="AC3" i="2"/>
  <c r="Z10" i="2"/>
  <c r="Z3" i="2"/>
  <c r="AA10" i="2"/>
  <c r="AB10" i="2"/>
  <c r="X10" i="2"/>
  <c r="W10" i="2"/>
  <c r="V10" i="2"/>
  <c r="U10" i="2"/>
  <c r="T10" i="2"/>
  <c r="S10" i="2"/>
  <c r="R10" i="2"/>
  <c r="Q10" i="2"/>
  <c r="N10" i="2"/>
  <c r="O10" i="2"/>
  <c r="P10" i="2"/>
  <c r="M10" i="2"/>
  <c r="L10" i="2"/>
  <c r="K10" i="2"/>
  <c r="J10" i="2"/>
  <c r="U5" i="2"/>
  <c r="U3" i="2"/>
  <c r="T7" i="2"/>
  <c r="AB5" i="2"/>
  <c r="AA5" i="2"/>
  <c r="W5" i="2"/>
  <c r="V5" i="2"/>
  <c r="AE3" i="2"/>
  <c r="AY3" i="2"/>
  <c r="AU3" i="2"/>
  <c r="AQ3" i="2"/>
  <c r="AM3" i="2"/>
  <c r="AI3" i="2"/>
  <c r="BC3" i="2"/>
  <c r="AP3" i="2"/>
  <c r="S3" i="2"/>
  <c r="AA3" i="2"/>
  <c r="V3" i="2"/>
  <c r="W3" i="2"/>
  <c r="T3" i="2"/>
  <c r="X3" i="2"/>
  <c r="AB3" i="2"/>
  <c r="K3" i="2"/>
  <c r="M3" i="2"/>
  <c r="R3" i="2"/>
  <c r="L3" i="2"/>
  <c r="Q3" i="2"/>
  <c r="P3" i="2"/>
  <c r="J3" i="2"/>
  <c r="N3" i="2"/>
  <c r="O3" i="2"/>
</calcChain>
</file>

<file path=xl/sharedStrings.xml><?xml version="1.0" encoding="utf-8"?>
<sst xmlns="http://schemas.openxmlformats.org/spreadsheetml/2006/main" count="228" uniqueCount="84">
  <si>
    <t>Α/Α</t>
  </si>
  <si>
    <t>Φορολογική Υποχρέωση</t>
  </si>
  <si>
    <t>Έναρξη Υποβολής</t>
  </si>
  <si>
    <t>Λήξη Υποβολής</t>
  </si>
  <si>
    <t>Λήξη 1ης δόσης</t>
  </si>
  <si>
    <t>Λήξη 2ης δόσης</t>
  </si>
  <si>
    <t>Λήξη 3ης δόσης</t>
  </si>
  <si>
    <t>Λήξη 4ης δόσης</t>
  </si>
  <si>
    <t>Λήξη 5ης δόσης</t>
  </si>
  <si>
    <t>Λήξη 6ης δόσης</t>
  </si>
  <si>
    <t>-</t>
  </si>
  <si>
    <t>Λήξη 7ης δόσης</t>
  </si>
  <si>
    <t>Λήξη 8ης δόσης</t>
  </si>
  <si>
    <t>ΠΡΟΓΡΑΜΜΑΤΙΣΜΟΣ ΥΠΟΒΟΛΩΝ, ΕΚΚΑΘΑΡΙΣΕΩΝ ΚΑΙ ΔΟΣΕΩΝ 2014</t>
  </si>
  <si>
    <t>Υποβολή Εντύπου Ε1</t>
  </si>
  <si>
    <t>με την υποβολή</t>
  </si>
  <si>
    <t>Υποβολή Εντύπων Ε2 και Ε3</t>
  </si>
  <si>
    <t>Υποβολή Εντύπου Ε5</t>
  </si>
  <si>
    <t>Εκκαθάριση</t>
  </si>
  <si>
    <t>Υποβολή Εντύπου Φ01 010</t>
  </si>
  <si>
    <t>Υποβολή Εντύπου Φ01 013</t>
  </si>
  <si>
    <t>Υποβολή Εντύπου Φ01 012</t>
  </si>
  <si>
    <t>1 - 30/6/2014</t>
  </si>
  <si>
    <t>ΕΦΑ</t>
  </si>
  <si>
    <t>Εφάπαξ μέχρι 31/5/2014</t>
  </si>
  <si>
    <t>Έντυπο Ε7</t>
  </si>
  <si>
    <t>Εφάπαξ με την υποβολή*</t>
  </si>
  <si>
    <t>* Εφόσον υπάρξει βεβαίωση</t>
  </si>
  <si>
    <t>Έντυπα Ε232, Ε235, Ε233, Ε566, Ε567</t>
  </si>
  <si>
    <t>Έντυπο Ε234</t>
  </si>
  <si>
    <t>Οριστική Δήλωση Παρακρατούμενων Φόρων Ελευθέρων Επαγγελματιών</t>
  </si>
  <si>
    <t>Οριστική Δήλωση Παρακρατούμενων Φόρων Εμπορικών Επιχειρήσεων</t>
  </si>
  <si>
    <t>Αναμενόμενο πλήθος υποβολών</t>
  </si>
  <si>
    <t>Υποβολή Εντύπου Ε2</t>
  </si>
  <si>
    <t>Υποβολή Εντύπου Ε3</t>
  </si>
  <si>
    <t>?</t>
  </si>
  <si>
    <t>Βεβαιώσεις αποδοχών</t>
  </si>
  <si>
    <t>Εκκαθαριστική Δήλωση ΦΠΑ με Απλογραφικό Σύστημα</t>
  </si>
  <si>
    <t>Εκκαθαριστική Δήλωση ΦΠΑ με διπλογραφικό σύστημα</t>
  </si>
  <si>
    <t>Ε9 2014</t>
  </si>
  <si>
    <t>Ε9 2015</t>
  </si>
  <si>
    <t xml:space="preserve"> 3/2/1014</t>
  </si>
  <si>
    <t>Περιοδική Δήλωση ΦΠΑ με Απλογραφικό Σύστημα</t>
  </si>
  <si>
    <t>1/1, 1/4, 1/7 και 1/10</t>
  </si>
  <si>
    <t>20/1, 20/4, 20/7 και 20/10</t>
  </si>
  <si>
    <t>1η κάθε μήνα</t>
  </si>
  <si>
    <t>20η κάθε μήνα</t>
  </si>
  <si>
    <t>Π1</t>
  </si>
  <si>
    <t>Π2</t>
  </si>
  <si>
    <t>Π3</t>
  </si>
  <si>
    <t>Π4</t>
  </si>
  <si>
    <t>Προσωρινή Δήλωση Απόδοσης Παρακρατούμενων Φόρων</t>
  </si>
  <si>
    <t>Στοιχεία Πελατών Προμηθευτών</t>
  </si>
  <si>
    <t>τέλος κάθε μήνα</t>
  </si>
  <si>
    <t xml:space="preserve"> 3/2/2014</t>
  </si>
  <si>
    <t>Έκτακτη Εισφορά επί Εισερχομένου Συναλλάγματος</t>
  </si>
  <si>
    <t>1 - 30/6/2015</t>
  </si>
  <si>
    <t>Π5</t>
  </si>
  <si>
    <t>Χειρόγραφη υποβολή</t>
  </si>
  <si>
    <t>1η έτους</t>
  </si>
  <si>
    <t>Τέλος έτους</t>
  </si>
  <si>
    <t>Στοιχεία Μισθωτηρίων*</t>
  </si>
  <si>
    <t>950000 ?</t>
  </si>
  <si>
    <t>* Το πρώτο 4μηνο του 2014 θα κατατεθούν και στοιχεία παλαιών μισθώσεων που έχουν μεταβολή. Έχουν υπολογιστεί σε 400.000.</t>
  </si>
  <si>
    <t>ΣΥΝΟΛΑ ΥΠΟΒΟΛΩΝ</t>
  </si>
  <si>
    <t>Έντυπα Ε232, Ε233, Ε566, Ε567</t>
  </si>
  <si>
    <t>Έντυπo  Ε235</t>
  </si>
  <si>
    <t>Εφάπαξ με την υποβολή</t>
  </si>
  <si>
    <t>Οίκοθεν βεβαίωση (συνήθως μετά την 31/3)</t>
  </si>
  <si>
    <t>τον επόμενο μήνα της ειδοποίησης</t>
  </si>
  <si>
    <t xml:space="preserve">Μετά τρίμηνο </t>
  </si>
  <si>
    <t xml:space="preserve">Μετά 6μηνο </t>
  </si>
  <si>
    <t xml:space="preserve">Μετά 9μηνο </t>
  </si>
  <si>
    <t>τελευταία εργάσιμη 1ου μήνα από υποβολή</t>
  </si>
  <si>
    <t>τελευταία εργάσιμη 2ου μήνα από υποβολή</t>
  </si>
  <si>
    <t>τελευταία εργάσιμη 3ου μήνα από υποβολή</t>
  </si>
  <si>
    <t>τελευταία εργάσιμη 4ου μήνα από υποβολή</t>
  </si>
  <si>
    <t>τελευταία εργάσιμη 5ου μήνα από υποβολή</t>
  </si>
  <si>
    <t>τελευταία εργάσιμη 6ου μήνα από υποβολή</t>
  </si>
  <si>
    <t>τελευταία εργάσιμη 7ου μήνα από υποβολή</t>
  </si>
  <si>
    <t>Τέλη Κυκλοφορίας</t>
  </si>
  <si>
    <t>01/11/2014**</t>
  </si>
  <si>
    <t>** Έναρξη ειδοποίησης</t>
  </si>
  <si>
    <t>Ειδικές Υποβολές Πλοίων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</si>
</sst>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u/>
      <sz val="11"/>
      <color theme="11"/>
      <name val="Calibri"/>
      <family val="2"/>
      <charset val="161"/>
      <scheme val="minor"/>
    </font>
    <font>
      <b/>
      <sz val="11"/>
      <color rgb="FF008000"/>
      <name val="Calibri"/>
      <scheme val="minor"/>
    </font>
    <font>
      <sz val="11"/>
      <name val="Calibri"/>
      <scheme val="minor"/>
    </font>
    <font>
      <b/>
      <sz val="11"/>
      <color theme="9" tint="-0.249977111117893"/>
      <name val="Calibri"/>
      <family val="2"/>
      <charset val="161"/>
      <scheme val="minor"/>
    </font>
    <font>
      <b/>
      <sz val="11"/>
      <color theme="8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E1771F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6" borderId="8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4" fontId="0" fillId="6" borderId="2" xfId="0" applyNumberForma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4" borderId="13" xfId="0" applyNumberFormat="1" applyFill="1" applyBorder="1" applyAlignment="1">
      <alignment horizontal="center" vertical="center" wrapText="1"/>
    </xf>
    <xf numFmtId="14" fontId="0" fillId="4" borderId="14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 wrapText="1"/>
    </xf>
    <xf numFmtId="14" fontId="0" fillId="5" borderId="26" xfId="0" applyNumberFormat="1" applyFill="1" applyBorder="1" applyAlignment="1">
      <alignment horizontal="center" vertical="center" wrapText="1"/>
    </xf>
    <xf numFmtId="14" fontId="0" fillId="5" borderId="27" xfId="0" applyNumberFormat="1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/>
    </xf>
    <xf numFmtId="14" fontId="0" fillId="5" borderId="27" xfId="0" applyNumberFormat="1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0" borderId="0" xfId="0" applyAlignment="1">
      <alignment wrapText="1"/>
    </xf>
    <xf numFmtId="14" fontId="0" fillId="4" borderId="18" xfId="0" applyNumberForma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1" fillId="2" borderId="31" xfId="0" applyFont="1" applyFill="1" applyBorder="1" applyAlignment="1">
      <alignment horizontal="center" vertical="center" wrapText="1"/>
    </xf>
    <xf numFmtId="14" fontId="0" fillId="4" borderId="21" xfId="0" applyNumberFormat="1" applyFill="1" applyBorder="1" applyAlignment="1">
      <alignment horizontal="center" vertical="center"/>
    </xf>
    <xf numFmtId="14" fontId="0" fillId="4" borderId="24" xfId="0" applyNumberForma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vertical="center" wrapText="1"/>
    </xf>
    <xf numFmtId="0" fontId="0" fillId="3" borderId="27" xfId="0" applyFill="1" applyBorder="1" applyAlignment="1">
      <alignment vertical="center" wrapText="1"/>
    </xf>
    <xf numFmtId="0" fontId="0" fillId="3" borderId="29" xfId="0" applyFill="1" applyBorder="1" applyAlignment="1">
      <alignment vertical="center" wrapText="1"/>
    </xf>
    <xf numFmtId="0" fontId="0" fillId="3" borderId="30" xfId="0" applyFill="1" applyBorder="1" applyAlignment="1">
      <alignment vertical="center" wrapText="1"/>
    </xf>
    <xf numFmtId="14" fontId="0" fillId="4" borderId="17" xfId="0" applyNumberFormat="1" applyFill="1" applyBorder="1" applyAlignment="1">
      <alignment horizontal="center" vertical="center"/>
    </xf>
    <xf numFmtId="14" fontId="0" fillId="4" borderId="3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9" borderId="1" xfId="0" applyNumberFormat="1" applyFill="1" applyBorder="1" applyAlignment="1">
      <alignment vertical="center" textRotation="90"/>
    </xf>
    <xf numFmtId="0" fontId="0" fillId="0" borderId="21" xfId="0" applyBorder="1" applyAlignment="1">
      <alignment vertical="center"/>
    </xf>
    <xf numFmtId="3" fontId="0" fillId="9" borderId="21" xfId="0" applyNumberFormat="1" applyFill="1" applyBorder="1" applyAlignment="1">
      <alignment vertical="center" textRotation="90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0" fillId="9" borderId="2" xfId="0" applyNumberFormat="1" applyFill="1" applyBorder="1" applyAlignment="1">
      <alignment vertical="center" textRotation="90"/>
    </xf>
    <xf numFmtId="3" fontId="0" fillId="9" borderId="3" xfId="0" applyNumberFormat="1" applyFill="1" applyBorder="1" applyAlignment="1">
      <alignment vertical="center" textRotation="90"/>
    </xf>
    <xf numFmtId="0" fontId="0" fillId="0" borderId="3" xfId="0" applyFill="1" applyBorder="1" applyAlignment="1">
      <alignment vertical="center"/>
    </xf>
    <xf numFmtId="0" fontId="0" fillId="3" borderId="43" xfId="0" applyFill="1" applyBorder="1" applyAlignment="1">
      <alignment horizontal="center" vertical="center" wrapText="1"/>
    </xf>
    <xf numFmtId="0" fontId="0" fillId="3" borderId="44" xfId="0" applyFill="1" applyBorder="1" applyAlignment="1">
      <alignment vertical="center" wrapText="1"/>
    </xf>
    <xf numFmtId="14" fontId="0" fillId="4" borderId="39" xfId="0" applyNumberFormat="1" applyFill="1" applyBorder="1" applyAlignment="1">
      <alignment horizontal="center" vertical="center" wrapText="1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3" fontId="0" fillId="9" borderId="37" xfId="0" applyNumberFormat="1" applyFill="1" applyBorder="1" applyAlignment="1">
      <alignment vertical="center" textRotation="90"/>
    </xf>
    <xf numFmtId="3" fontId="0" fillId="9" borderId="38" xfId="0" applyNumberFormat="1" applyFill="1" applyBorder="1" applyAlignment="1">
      <alignment vertical="center" textRotation="90"/>
    </xf>
    <xf numFmtId="3" fontId="0" fillId="9" borderId="39" xfId="0" applyNumberFormat="1" applyFill="1" applyBorder="1" applyAlignment="1">
      <alignment vertical="center" textRotation="90"/>
    </xf>
    <xf numFmtId="0" fontId="0" fillId="3" borderId="35" xfId="0" applyFill="1" applyBorder="1" applyAlignment="1">
      <alignment horizontal="center" vertical="center" wrapText="1"/>
    </xf>
    <xf numFmtId="14" fontId="0" fillId="4" borderId="6" xfId="0" applyNumberForma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5" xfId="0" applyBorder="1" applyAlignment="1">
      <alignment vertical="center"/>
    </xf>
    <xf numFmtId="3" fontId="0" fillId="9" borderId="5" xfId="0" applyNumberFormat="1" applyFill="1" applyBorder="1" applyAlignment="1">
      <alignment vertical="center" textRotation="90"/>
    </xf>
    <xf numFmtId="3" fontId="0" fillId="9" borderId="6" xfId="0" applyNumberFormat="1" applyFill="1" applyBorder="1" applyAlignment="1">
      <alignment vertical="center" textRotation="90"/>
    </xf>
    <xf numFmtId="3" fontId="0" fillId="9" borderId="4" xfId="0" applyNumberFormat="1" applyFill="1" applyBorder="1" applyAlignment="1">
      <alignment vertical="center" textRotation="90"/>
    </xf>
    <xf numFmtId="3" fontId="1" fillId="11" borderId="4" xfId="0" applyNumberFormat="1" applyFont="1" applyFill="1" applyBorder="1" applyAlignment="1">
      <alignment vertical="center" textRotation="90"/>
    </xf>
    <xf numFmtId="3" fontId="1" fillId="11" borderId="5" xfId="0" applyNumberFormat="1" applyFont="1" applyFill="1" applyBorder="1" applyAlignment="1">
      <alignment vertical="center" textRotation="90"/>
    </xf>
    <xf numFmtId="3" fontId="1" fillId="11" borderId="6" xfId="0" applyNumberFormat="1" applyFont="1" applyFill="1" applyBorder="1" applyAlignment="1">
      <alignment vertical="center" textRotation="90"/>
    </xf>
    <xf numFmtId="0" fontId="1" fillId="7" borderId="42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3" fontId="1" fillId="8" borderId="5" xfId="0" applyNumberFormat="1" applyFont="1" applyFill="1" applyBorder="1" applyAlignment="1">
      <alignment vertical="center" textRotation="90"/>
    </xf>
    <xf numFmtId="3" fontId="1" fillId="10" borderId="5" xfId="0" applyNumberFormat="1" applyFont="1" applyFill="1" applyBorder="1" applyAlignment="1">
      <alignment vertical="center" textRotation="90"/>
    </xf>
    <xf numFmtId="3" fontId="1" fillId="10" borderId="4" xfId="0" applyNumberFormat="1" applyFont="1" applyFill="1" applyBorder="1" applyAlignment="1">
      <alignment vertical="center" textRotation="90"/>
    </xf>
    <xf numFmtId="3" fontId="1" fillId="10" borderId="6" xfId="0" applyNumberFormat="1" applyFont="1" applyFill="1" applyBorder="1" applyAlignment="1">
      <alignment vertical="center" textRotation="90"/>
    </xf>
    <xf numFmtId="3" fontId="1" fillId="8" borderId="6" xfId="0" applyNumberFormat="1" applyFont="1" applyFill="1" applyBorder="1" applyAlignment="1">
      <alignment vertical="center" textRotation="90"/>
    </xf>
    <xf numFmtId="3" fontId="1" fillId="8" borderId="4" xfId="0" applyNumberFormat="1" applyFont="1" applyFill="1" applyBorder="1" applyAlignment="1">
      <alignment vertical="center" textRotation="90"/>
    </xf>
    <xf numFmtId="3" fontId="0" fillId="12" borderId="5" xfId="0" applyNumberFormat="1" applyFill="1" applyBorder="1" applyAlignment="1">
      <alignment vertical="center" textRotation="90"/>
    </xf>
    <xf numFmtId="3" fontId="0" fillId="12" borderId="1" xfId="0" applyNumberFormat="1" applyFill="1" applyBorder="1" applyAlignment="1">
      <alignment vertical="center" textRotation="90"/>
    </xf>
    <xf numFmtId="3" fontId="0" fillId="12" borderId="38" xfId="0" applyNumberFormat="1" applyFill="1" applyBorder="1" applyAlignment="1">
      <alignment vertical="center" textRotation="90"/>
    </xf>
    <xf numFmtId="3" fontId="0" fillId="0" borderId="38" xfId="0" applyNumberFormat="1" applyFill="1" applyBorder="1" applyAlignment="1">
      <alignment vertical="center" textRotation="90"/>
    </xf>
    <xf numFmtId="3" fontId="0" fillId="0" borderId="38" xfId="0" applyNumberFormat="1" applyBorder="1" applyAlignment="1">
      <alignment vertical="center" textRotation="90"/>
    </xf>
    <xf numFmtId="3" fontId="0" fillId="0" borderId="39" xfId="0" applyNumberFormat="1" applyFill="1" applyBorder="1" applyAlignment="1">
      <alignment vertical="center" textRotation="90"/>
    </xf>
    <xf numFmtId="3" fontId="0" fillId="0" borderId="3" xfId="0" applyNumberFormat="1" applyFill="1" applyBorder="1" applyAlignment="1">
      <alignment textRotation="90"/>
    </xf>
    <xf numFmtId="0" fontId="0" fillId="3" borderId="44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14" fontId="0" fillId="4" borderId="37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3" fontId="0" fillId="4" borderId="44" xfId="0" applyNumberFormat="1" applyFill="1" applyBorder="1" applyAlignment="1">
      <alignment horizontal="center" vertical="center" wrapText="1"/>
    </xf>
    <xf numFmtId="3" fontId="0" fillId="4" borderId="27" xfId="0" applyNumberFormat="1" applyFill="1" applyBorder="1" applyAlignment="1">
      <alignment horizontal="center" vertical="center" wrapText="1"/>
    </xf>
    <xf numFmtId="3" fontId="0" fillId="4" borderId="30" xfId="0" applyNumberFormat="1" applyFill="1" applyBorder="1" applyAlignment="1">
      <alignment horizontal="center" vertical="center" wrapText="1"/>
    </xf>
    <xf numFmtId="3" fontId="0" fillId="12" borderId="37" xfId="0" applyNumberFormat="1" applyFill="1" applyBorder="1" applyAlignment="1">
      <alignment vertical="center" textRotation="90"/>
    </xf>
    <xf numFmtId="3" fontId="0" fillId="12" borderId="2" xfId="0" applyNumberFormat="1" applyFill="1" applyBorder="1" applyAlignment="1">
      <alignment vertical="center" textRotation="90"/>
    </xf>
    <xf numFmtId="3" fontId="0" fillId="0" borderId="37" xfId="0" applyNumberFormat="1" applyBorder="1" applyAlignment="1">
      <alignment vertical="center" textRotation="90"/>
    </xf>
    <xf numFmtId="3" fontId="0" fillId="0" borderId="39" xfId="0" applyNumberFormat="1" applyBorder="1" applyAlignment="1">
      <alignment vertical="center" textRotation="90"/>
    </xf>
    <xf numFmtId="3" fontId="0" fillId="0" borderId="37" xfId="0" applyNumberFormat="1" applyFill="1" applyBorder="1" applyAlignment="1">
      <alignment vertical="center" textRotation="90"/>
    </xf>
    <xf numFmtId="3" fontId="0" fillId="12" borderId="3" xfId="0" applyNumberFormat="1" applyFill="1" applyBorder="1" applyAlignment="1">
      <alignment vertical="center" textRotation="90"/>
    </xf>
    <xf numFmtId="3" fontId="0" fillId="0" borderId="46" xfId="0" applyNumberFormat="1" applyFill="1" applyBorder="1" applyAlignment="1">
      <alignment vertical="center" textRotation="90"/>
    </xf>
    <xf numFmtId="3" fontId="0" fillId="0" borderId="14" xfId="0" applyNumberFormat="1" applyFill="1" applyBorder="1" applyAlignment="1">
      <alignment textRotation="90"/>
    </xf>
    <xf numFmtId="3" fontId="0" fillId="12" borderId="33" xfId="0" applyNumberFormat="1" applyFill="1" applyBorder="1" applyAlignment="1">
      <alignment vertical="center" textRotation="90"/>
    </xf>
    <xf numFmtId="3" fontId="0" fillId="12" borderId="34" xfId="0" applyNumberFormat="1" applyFill="1" applyBorder="1" applyAlignment="1">
      <alignment vertical="center" textRotation="90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3" fontId="0" fillId="4" borderId="29" xfId="0" applyNumberFormat="1" applyFill="1" applyBorder="1" applyAlignment="1">
      <alignment horizontal="center" vertical="center" wrapText="1"/>
    </xf>
    <xf numFmtId="3" fontId="0" fillId="12" borderId="47" xfId="0" applyNumberFormat="1" applyFill="1" applyBorder="1" applyAlignment="1">
      <alignment vertical="center" textRotation="90"/>
    </xf>
    <xf numFmtId="3" fontId="0" fillId="12" borderId="19" xfId="0" applyNumberFormat="1" applyFill="1" applyBorder="1" applyAlignment="1">
      <alignment vertical="center" textRotation="90"/>
    </xf>
    <xf numFmtId="3" fontId="0" fillId="12" borderId="17" xfId="0" applyNumberFormat="1" applyFill="1" applyBorder="1" applyAlignment="1">
      <alignment vertical="center" textRotation="90"/>
    </xf>
    <xf numFmtId="3" fontId="0" fillId="12" borderId="18" xfId="0" applyNumberFormat="1" applyFill="1" applyBorder="1" applyAlignment="1">
      <alignment vertical="center" textRotation="90"/>
    </xf>
    <xf numFmtId="14" fontId="8" fillId="4" borderId="23" xfId="0" applyNumberFormat="1" applyFont="1" applyFill="1" applyBorder="1" applyAlignment="1">
      <alignment horizontal="center" vertical="center" wrapText="1"/>
    </xf>
    <xf numFmtId="14" fontId="7" fillId="4" borderId="21" xfId="0" applyNumberFormat="1" applyFont="1" applyFill="1" applyBorder="1" applyAlignment="1">
      <alignment horizontal="center" vertical="center"/>
    </xf>
    <xf numFmtId="3" fontId="0" fillId="4" borderId="48" xfId="0" applyNumberForma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3" fontId="0" fillId="4" borderId="50" xfId="0" applyNumberFormat="1" applyFill="1" applyBorder="1" applyAlignment="1">
      <alignment horizontal="center" vertical="center" wrapText="1"/>
    </xf>
    <xf numFmtId="14" fontId="9" fillId="4" borderId="37" xfId="0" applyNumberFormat="1" applyFont="1" applyFill="1" applyBorder="1" applyAlignment="1">
      <alignment horizontal="center" vertical="center" wrapText="1"/>
    </xf>
    <xf numFmtId="14" fontId="0" fillId="4" borderId="2" xfId="0" applyNumberFormat="1" applyFill="1" applyBorder="1" applyAlignment="1">
      <alignment horizontal="center" vertical="center"/>
    </xf>
    <xf numFmtId="14" fontId="9" fillId="4" borderId="3" xfId="0" applyNumberFormat="1" applyFont="1" applyFill="1" applyBorder="1" applyAlignment="1">
      <alignment horizontal="center" vertical="center" wrapText="1"/>
    </xf>
    <xf numFmtId="14" fontId="0" fillId="4" borderId="16" xfId="0" applyNumberFormat="1" applyFill="1" applyBorder="1" applyAlignment="1">
      <alignment horizontal="center" vertical="center"/>
    </xf>
    <xf numFmtId="14" fontId="0" fillId="4" borderId="4" xfId="0" applyNumberFormat="1" applyFill="1" applyBorder="1" applyAlignment="1">
      <alignment horizontal="center" vertical="center"/>
    </xf>
    <xf numFmtId="14" fontId="9" fillId="4" borderId="2" xfId="0" applyNumberFormat="1" applyFont="1" applyFill="1" applyBorder="1" applyAlignment="1">
      <alignment horizontal="center" vertical="center"/>
    </xf>
    <xf numFmtId="3" fontId="1" fillId="13" borderId="5" xfId="0" applyNumberFormat="1" applyFont="1" applyFill="1" applyBorder="1" applyAlignment="1">
      <alignment vertical="center" textRotation="90"/>
    </xf>
    <xf numFmtId="3" fontId="1" fillId="14" borderId="4" xfId="0" applyNumberFormat="1" applyFont="1" applyFill="1" applyBorder="1" applyAlignment="1">
      <alignment vertical="center" textRotation="90"/>
    </xf>
    <xf numFmtId="3" fontId="1" fillId="14" borderId="5" xfId="0" applyNumberFormat="1" applyFont="1" applyFill="1" applyBorder="1" applyAlignment="1">
      <alignment vertical="center" textRotation="90"/>
    </xf>
    <xf numFmtId="14" fontId="0" fillId="4" borderId="14" xfId="0" applyNumberFormat="1" applyFill="1" applyBorder="1" applyAlignment="1">
      <alignment horizontal="center" vertical="center" wrapText="1"/>
    </xf>
    <xf numFmtId="14" fontId="0" fillId="6" borderId="7" xfId="0" applyNumberFormat="1" applyFill="1" applyBorder="1" applyAlignment="1">
      <alignment horizontal="center" vertical="center" wrapText="1"/>
    </xf>
    <xf numFmtId="14" fontId="0" fillId="6" borderId="8" xfId="0" applyNumberFormat="1" applyFill="1" applyBorder="1" applyAlignment="1">
      <alignment horizontal="center" vertical="center" wrapText="1"/>
    </xf>
    <xf numFmtId="14" fontId="0" fillId="5" borderId="29" xfId="0" applyNumberFormat="1" applyFill="1" applyBorder="1" applyAlignment="1">
      <alignment horizontal="center" vertical="center"/>
    </xf>
    <xf numFmtId="14" fontId="0" fillId="6" borderId="16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3" borderId="33" xfId="0" applyFont="1" applyFill="1" applyBorder="1" applyAlignment="1">
      <alignment horizontal="center" vertical="center" wrapText="1"/>
    </xf>
    <xf numFmtId="0" fontId="10" fillId="3" borderId="4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7" fontId="1" fillId="7" borderId="37" xfId="0" applyNumberFormat="1" applyFont="1" applyFill="1" applyBorder="1" applyAlignment="1">
      <alignment horizontal="center"/>
    </xf>
    <xf numFmtId="17" fontId="1" fillId="7" borderId="38" xfId="0" applyNumberFormat="1" applyFont="1" applyFill="1" applyBorder="1" applyAlignment="1">
      <alignment horizontal="center"/>
    </xf>
    <xf numFmtId="17" fontId="1" fillId="7" borderId="39" xfId="0" applyNumberFormat="1" applyFont="1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0" borderId="4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17" fontId="1" fillId="7" borderId="40" xfId="0" applyNumberFormat="1" applyFont="1" applyFill="1" applyBorder="1" applyAlignment="1">
      <alignment horizontal="center"/>
    </xf>
    <xf numFmtId="0" fontId="4" fillId="7" borderId="32" xfId="0" applyFont="1" applyFill="1" applyBorder="1" applyAlignment="1">
      <alignment horizontal="center" vertical="center"/>
    </xf>
    <xf numFmtId="0" fontId="4" fillId="7" borderId="36" xfId="0" applyFont="1" applyFill="1" applyBorder="1" applyAlignment="1">
      <alignment horizontal="center" vertical="center"/>
    </xf>
  </cellXfs>
  <cellStyles count="27">
    <cellStyle name="Κανονικό" xfId="0" builtinId="0"/>
    <cellStyle name="Υπερ-σύνδεση" xfId="1" builtinId="8" hidden="1"/>
    <cellStyle name="Υπερ-σύνδεση" xfId="3" builtinId="8" hidden="1"/>
    <cellStyle name="Υπερ-σύνδεση" xfId="5" builtinId="8" hidden="1"/>
    <cellStyle name="Υπερ-σύνδεση" xfId="7" builtinId="8" hidden="1"/>
    <cellStyle name="Υπερ-σύνδεση" xfId="9" builtinId="8" hidden="1"/>
    <cellStyle name="Υπερ-σύνδεση" xfId="11" builtinId="8" hidden="1"/>
    <cellStyle name="Υπερ-σύνδεση" xfId="13" builtinId="8" hidden="1"/>
    <cellStyle name="Υπερ-σύνδεση" xfId="15" builtinId="8" hidden="1"/>
    <cellStyle name="Υπερ-σύνδεση" xfId="17" builtinId="8" hidden="1"/>
    <cellStyle name="Υπερ-σύνδεση" xfId="19" builtinId="8" hidden="1"/>
    <cellStyle name="Υπερ-σύνδεση" xfId="21" builtinId="8" hidden="1"/>
    <cellStyle name="Υπερ-σύνδεση" xfId="23" builtinId="8" hidden="1"/>
    <cellStyle name="Υπερ-σύνδεση" xfId="25" builtinId="8" hidden="1"/>
    <cellStyle name="Υπερ-σύνδεση που ακολουθήθηκε" xfId="2" builtinId="9" hidden="1"/>
    <cellStyle name="Υπερ-σύνδεση που ακολουθήθηκε" xfId="4" builtinId="9" hidden="1"/>
    <cellStyle name="Υπερ-σύνδεση που ακολουθήθηκε" xfId="6" builtinId="9" hidden="1"/>
    <cellStyle name="Υπερ-σύνδεση που ακολουθήθηκε" xfId="8" builtinId="9" hidden="1"/>
    <cellStyle name="Υπερ-σύνδεση που ακολουθήθηκε" xfId="10" builtinId="9" hidden="1"/>
    <cellStyle name="Υπερ-σύνδεση που ακολουθήθηκε" xfId="12" builtinId="9" hidden="1"/>
    <cellStyle name="Υπερ-σύνδεση που ακολουθήθηκε" xfId="14" builtinId="9" hidden="1"/>
    <cellStyle name="Υπερ-σύνδεση που ακολουθήθηκε" xfId="16" builtinId="9" hidden="1"/>
    <cellStyle name="Υπερ-σύνδεση που ακολουθήθηκε" xfId="18" builtinId="9" hidden="1"/>
    <cellStyle name="Υπερ-σύνδεση που ακολουθήθηκε" xfId="20" builtinId="9" hidden="1"/>
    <cellStyle name="Υπερ-σύνδεση που ακολουθήθηκε" xfId="22" builtinId="9" hidden="1"/>
    <cellStyle name="Υπερ-σύνδεση που ακολουθήθηκε" xfId="24" builtinId="9" hidden="1"/>
    <cellStyle name="Υπερ-σύνδεση που ακολουθήθηκε" xfId="26" builtinId="9" hidden="1"/>
  </cellStyles>
  <dxfs count="0"/>
  <tableStyles count="0" defaultTableStyle="TableStyleMedium2" defaultPivotStyle="PivotStyleLight16"/>
  <colors>
    <mruColors>
      <color rgb="FFE1771F"/>
      <color rgb="FFCC000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28"/>
  <sheetViews>
    <sheetView topLeftCell="A49" zoomScale="70" zoomScaleNormal="70" zoomScalePageLayoutView="70" workbookViewId="0">
      <selection activeCell="O5" sqref="O5"/>
    </sheetView>
  </sheetViews>
  <sheetFormatPr defaultColWidth="8.85546875" defaultRowHeight="15" x14ac:dyDescent="0.25"/>
  <cols>
    <col min="1" max="1" width="4.42578125" style="2" customWidth="1"/>
    <col min="2" max="2" width="30.140625" style="30" customWidth="1"/>
    <col min="3" max="3" width="11.85546875" customWidth="1"/>
    <col min="4" max="4" width="17" customWidth="1"/>
    <col min="5" max="5" width="16.85546875" customWidth="1"/>
    <col min="6" max="13" width="13.42578125" customWidth="1"/>
  </cols>
  <sheetData>
    <row r="1" spans="1:13" ht="18.75" x14ac:dyDescent="0.3">
      <c r="A1" s="143" t="s">
        <v>13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3" ht="9" customHeight="1" thickBot="1" x14ac:dyDescent="0.3"/>
    <row r="3" spans="1:13" s="1" customFormat="1" ht="30.75" thickBot="1" x14ac:dyDescent="0.3">
      <c r="A3" s="37" t="s">
        <v>0</v>
      </c>
      <c r="B3" s="41" t="s">
        <v>1</v>
      </c>
      <c r="C3" s="33" t="s">
        <v>2</v>
      </c>
      <c r="D3" s="5" t="s">
        <v>3</v>
      </c>
      <c r="E3" s="3" t="s">
        <v>18</v>
      </c>
      <c r="F3" s="3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11</v>
      </c>
      <c r="M3" s="4" t="s">
        <v>12</v>
      </c>
    </row>
    <row r="4" spans="1:13" s="20" customFormat="1" x14ac:dyDescent="0.25">
      <c r="A4" s="38">
        <v>1</v>
      </c>
      <c r="B4" s="42" t="s">
        <v>14</v>
      </c>
      <c r="C4" s="122">
        <v>41718</v>
      </c>
      <c r="D4" s="21">
        <v>41820</v>
      </c>
      <c r="E4" s="25" t="s">
        <v>15</v>
      </c>
      <c r="F4" s="139">
        <v>41851</v>
      </c>
      <c r="G4" s="140">
        <v>41912</v>
      </c>
      <c r="H4" s="140">
        <v>41973</v>
      </c>
      <c r="I4" s="7" t="s">
        <v>10</v>
      </c>
      <c r="J4" s="7" t="s">
        <v>10</v>
      </c>
      <c r="K4" s="7" t="s">
        <v>10</v>
      </c>
      <c r="L4" s="7" t="s">
        <v>10</v>
      </c>
      <c r="M4" s="8" t="s">
        <v>10</v>
      </c>
    </row>
    <row r="5" spans="1:13" s="6" customFormat="1" ht="60" x14ac:dyDescent="0.25">
      <c r="A5" s="39">
        <v>2</v>
      </c>
      <c r="B5" s="43" t="s">
        <v>17</v>
      </c>
      <c r="C5" s="34">
        <v>41701</v>
      </c>
      <c r="D5" s="138">
        <v>41759</v>
      </c>
      <c r="E5" s="26" t="s">
        <v>15</v>
      </c>
      <c r="F5" s="9" t="s">
        <v>15</v>
      </c>
      <c r="G5" s="24" t="s">
        <v>73</v>
      </c>
      <c r="H5" s="7" t="s">
        <v>74</v>
      </c>
      <c r="I5" s="7" t="s">
        <v>75</v>
      </c>
      <c r="J5" s="7" t="s">
        <v>76</v>
      </c>
      <c r="K5" s="7" t="s">
        <v>77</v>
      </c>
      <c r="L5" s="7" t="s">
        <v>78</v>
      </c>
      <c r="M5" s="8" t="s">
        <v>79</v>
      </c>
    </row>
    <row r="6" spans="1:13" s="6" customFormat="1" ht="60" x14ac:dyDescent="0.25">
      <c r="A6" s="38">
        <v>3</v>
      </c>
      <c r="B6" s="43" t="s">
        <v>19</v>
      </c>
      <c r="C6" s="123">
        <v>41743</v>
      </c>
      <c r="D6" s="138">
        <v>41789</v>
      </c>
      <c r="E6" s="26" t="s">
        <v>15</v>
      </c>
      <c r="F6" s="9" t="s">
        <v>15</v>
      </c>
      <c r="G6" s="24" t="s">
        <v>73</v>
      </c>
      <c r="H6" s="7" t="s">
        <v>74</v>
      </c>
      <c r="I6" s="7" t="s">
        <v>75</v>
      </c>
      <c r="J6" s="7" t="s">
        <v>76</v>
      </c>
      <c r="K6" s="7" t="s">
        <v>77</v>
      </c>
      <c r="L6" s="7" t="s">
        <v>78</v>
      </c>
      <c r="M6" s="8" t="s">
        <v>79</v>
      </c>
    </row>
    <row r="7" spans="1:13" s="6" customFormat="1" ht="60" x14ac:dyDescent="0.25">
      <c r="A7" s="39">
        <v>4</v>
      </c>
      <c r="B7" s="43" t="s">
        <v>20</v>
      </c>
      <c r="C7" s="123">
        <v>41743</v>
      </c>
      <c r="D7" s="138">
        <v>41789</v>
      </c>
      <c r="E7" s="26" t="s">
        <v>15</v>
      </c>
      <c r="F7" s="9" t="s">
        <v>15</v>
      </c>
      <c r="G7" s="24" t="s">
        <v>73</v>
      </c>
      <c r="H7" s="7" t="s">
        <v>74</v>
      </c>
      <c r="I7" s="7" t="s">
        <v>75</v>
      </c>
      <c r="J7" s="7" t="s">
        <v>76</v>
      </c>
      <c r="K7" s="7" t="s">
        <v>77</v>
      </c>
      <c r="L7" s="7" t="s">
        <v>78</v>
      </c>
      <c r="M7" s="8" t="s">
        <v>79</v>
      </c>
    </row>
    <row r="8" spans="1:13" s="6" customFormat="1" ht="60" x14ac:dyDescent="0.25">
      <c r="A8" s="38">
        <v>5</v>
      </c>
      <c r="B8" s="43" t="s">
        <v>21</v>
      </c>
      <c r="C8" s="34">
        <v>41673</v>
      </c>
      <c r="D8" s="138">
        <v>41744</v>
      </c>
      <c r="E8" s="26" t="s">
        <v>15</v>
      </c>
      <c r="F8" s="9" t="s">
        <v>15</v>
      </c>
      <c r="G8" s="24" t="s">
        <v>73</v>
      </c>
      <c r="H8" s="7" t="s">
        <v>74</v>
      </c>
      <c r="I8" s="7" t="s">
        <v>75</v>
      </c>
      <c r="J8" s="7" t="s">
        <v>76</v>
      </c>
      <c r="K8" s="7" t="s">
        <v>77</v>
      </c>
      <c r="L8" s="7" t="s">
        <v>78</v>
      </c>
      <c r="M8" s="8" t="s">
        <v>79</v>
      </c>
    </row>
    <row r="9" spans="1:13" s="6" customFormat="1" x14ac:dyDescent="0.25">
      <c r="A9" s="39">
        <v>6</v>
      </c>
      <c r="B9" s="42" t="s">
        <v>16</v>
      </c>
      <c r="C9" s="35" t="s">
        <v>41</v>
      </c>
      <c r="D9" s="31">
        <v>41820</v>
      </c>
      <c r="E9" s="27" t="s">
        <v>10</v>
      </c>
      <c r="F9" s="9" t="s">
        <v>10</v>
      </c>
      <c r="G9" s="10" t="s">
        <v>10</v>
      </c>
      <c r="H9" s="10" t="s">
        <v>10</v>
      </c>
      <c r="I9" s="10" t="s">
        <v>10</v>
      </c>
      <c r="J9" s="10" t="s">
        <v>10</v>
      </c>
      <c r="K9" s="10" t="s">
        <v>10</v>
      </c>
      <c r="L9" s="10" t="s">
        <v>10</v>
      </c>
      <c r="M9" s="11" t="s">
        <v>10</v>
      </c>
    </row>
    <row r="10" spans="1:13" s="6" customFormat="1" ht="30" x14ac:dyDescent="0.25">
      <c r="A10" s="38">
        <v>7</v>
      </c>
      <c r="B10" s="43" t="s">
        <v>25</v>
      </c>
      <c r="C10" s="35">
        <v>41673</v>
      </c>
      <c r="D10" s="31">
        <v>41759</v>
      </c>
      <c r="E10" s="26" t="s">
        <v>15</v>
      </c>
      <c r="F10" s="12" t="s">
        <v>26</v>
      </c>
      <c r="G10" s="15" t="s">
        <v>10</v>
      </c>
      <c r="H10" s="15" t="s">
        <v>10</v>
      </c>
      <c r="I10" s="15" t="s">
        <v>10</v>
      </c>
      <c r="J10" s="15" t="s">
        <v>10</v>
      </c>
      <c r="K10" s="15" t="s">
        <v>10</v>
      </c>
      <c r="L10" s="15" t="s">
        <v>10</v>
      </c>
      <c r="M10" s="16" t="s">
        <v>10</v>
      </c>
    </row>
    <row r="11" spans="1:13" s="6" customFormat="1" x14ac:dyDescent="0.25">
      <c r="A11" s="39">
        <v>8</v>
      </c>
      <c r="B11" s="43" t="s">
        <v>36</v>
      </c>
      <c r="C11" s="34">
        <v>41666</v>
      </c>
      <c r="D11" s="31">
        <v>41726</v>
      </c>
      <c r="E11" s="26" t="s">
        <v>10</v>
      </c>
      <c r="F11" s="12" t="s">
        <v>10</v>
      </c>
      <c r="G11" s="15" t="s">
        <v>10</v>
      </c>
      <c r="H11" s="15" t="s">
        <v>10</v>
      </c>
      <c r="I11" s="15" t="s">
        <v>10</v>
      </c>
      <c r="J11" s="15" t="s">
        <v>10</v>
      </c>
      <c r="K11" s="15" t="s">
        <v>10</v>
      </c>
      <c r="L11" s="15" t="s">
        <v>10</v>
      </c>
      <c r="M11" s="16" t="s">
        <v>10</v>
      </c>
    </row>
    <row r="12" spans="1:13" s="6" customFormat="1" ht="45" x14ac:dyDescent="0.25">
      <c r="A12" s="38">
        <v>9</v>
      </c>
      <c r="B12" s="43" t="s">
        <v>30</v>
      </c>
      <c r="C12" s="123">
        <v>41715</v>
      </c>
      <c r="D12" s="31">
        <v>41759</v>
      </c>
      <c r="E12" s="26" t="s">
        <v>15</v>
      </c>
      <c r="F12" s="12" t="s">
        <v>26</v>
      </c>
      <c r="G12" s="15" t="s">
        <v>10</v>
      </c>
      <c r="H12" s="15" t="s">
        <v>10</v>
      </c>
      <c r="I12" s="15" t="s">
        <v>10</v>
      </c>
      <c r="J12" s="15" t="s">
        <v>10</v>
      </c>
      <c r="K12" s="15" t="s">
        <v>10</v>
      </c>
      <c r="L12" s="15" t="s">
        <v>10</v>
      </c>
      <c r="M12" s="11" t="s">
        <v>10</v>
      </c>
    </row>
    <row r="13" spans="1:13" s="6" customFormat="1" ht="45" x14ac:dyDescent="0.25">
      <c r="A13" s="39">
        <v>10</v>
      </c>
      <c r="B13" s="43" t="s">
        <v>31</v>
      </c>
      <c r="C13" s="123">
        <v>41715</v>
      </c>
      <c r="D13" s="31">
        <v>41759</v>
      </c>
      <c r="E13" s="26" t="s">
        <v>15</v>
      </c>
      <c r="F13" s="12" t="s">
        <v>26</v>
      </c>
      <c r="G13" s="15" t="s">
        <v>10</v>
      </c>
      <c r="H13" s="15" t="s">
        <v>10</v>
      </c>
      <c r="I13" s="15" t="s">
        <v>10</v>
      </c>
      <c r="J13" s="15" t="s">
        <v>10</v>
      </c>
      <c r="K13" s="15" t="s">
        <v>10</v>
      </c>
      <c r="L13" s="15" t="s">
        <v>10</v>
      </c>
      <c r="M13" s="11" t="s">
        <v>10</v>
      </c>
    </row>
    <row r="14" spans="1:13" s="6" customFormat="1" x14ac:dyDescent="0.25">
      <c r="A14" s="38">
        <v>11</v>
      </c>
      <c r="B14" s="43" t="s">
        <v>39</v>
      </c>
      <c r="C14" s="34">
        <v>41687</v>
      </c>
      <c r="D14" s="22">
        <v>41789</v>
      </c>
      <c r="E14" s="28" t="s">
        <v>22</v>
      </c>
      <c r="F14" s="12">
        <v>41851</v>
      </c>
      <c r="G14" s="13">
        <v>41880</v>
      </c>
      <c r="H14" s="13">
        <v>41912</v>
      </c>
      <c r="I14" s="13">
        <v>41943</v>
      </c>
      <c r="J14" s="13">
        <v>41971</v>
      </c>
      <c r="K14" s="13">
        <v>42004</v>
      </c>
      <c r="L14" s="10" t="s">
        <v>10</v>
      </c>
      <c r="M14" s="11" t="s">
        <v>10</v>
      </c>
    </row>
    <row r="15" spans="1:13" s="6" customFormat="1" ht="30" x14ac:dyDescent="0.25">
      <c r="A15" s="39">
        <v>12</v>
      </c>
      <c r="B15" s="43" t="s">
        <v>23</v>
      </c>
      <c r="C15" s="34">
        <v>41732</v>
      </c>
      <c r="D15" s="22">
        <v>41779</v>
      </c>
      <c r="E15" s="26" t="s">
        <v>15</v>
      </c>
      <c r="F15" s="12" t="s">
        <v>24</v>
      </c>
      <c r="G15" s="13" t="s">
        <v>10</v>
      </c>
      <c r="H15" s="13" t="s">
        <v>10</v>
      </c>
      <c r="I15" s="13" t="s">
        <v>10</v>
      </c>
      <c r="J15" s="13" t="s">
        <v>10</v>
      </c>
      <c r="K15" s="13" t="s">
        <v>10</v>
      </c>
      <c r="L15" s="10" t="s">
        <v>10</v>
      </c>
      <c r="M15" s="11" t="s">
        <v>10</v>
      </c>
    </row>
    <row r="16" spans="1:13" s="6" customFormat="1" ht="30" x14ac:dyDescent="0.25">
      <c r="A16" s="38">
        <v>13</v>
      </c>
      <c r="B16" s="43" t="s">
        <v>37</v>
      </c>
      <c r="C16" s="34">
        <v>41642</v>
      </c>
      <c r="D16" s="22">
        <v>41759</v>
      </c>
      <c r="E16" s="26" t="s">
        <v>15</v>
      </c>
      <c r="F16" s="12" t="s">
        <v>26</v>
      </c>
      <c r="G16" s="10" t="s">
        <v>10</v>
      </c>
      <c r="H16" s="10" t="s">
        <v>10</v>
      </c>
      <c r="I16" s="10" t="s">
        <v>10</v>
      </c>
      <c r="J16" s="10" t="s">
        <v>10</v>
      </c>
      <c r="K16" s="10" t="s">
        <v>10</v>
      </c>
      <c r="L16" s="10" t="s">
        <v>10</v>
      </c>
      <c r="M16" s="11" t="s">
        <v>10</v>
      </c>
    </row>
    <row r="17" spans="1:13" s="6" customFormat="1" ht="30" x14ac:dyDescent="0.25">
      <c r="A17" s="39">
        <v>14</v>
      </c>
      <c r="B17" s="43" t="s">
        <v>38</v>
      </c>
      <c r="C17" s="34">
        <v>41642</v>
      </c>
      <c r="D17" s="22">
        <v>41789</v>
      </c>
      <c r="E17" s="26" t="s">
        <v>15</v>
      </c>
      <c r="F17" s="12" t="s">
        <v>26</v>
      </c>
      <c r="G17" s="10" t="s">
        <v>10</v>
      </c>
      <c r="H17" s="10" t="s">
        <v>10</v>
      </c>
      <c r="I17" s="10" t="s">
        <v>10</v>
      </c>
      <c r="J17" s="10" t="s">
        <v>10</v>
      </c>
      <c r="K17" s="10" t="s">
        <v>10</v>
      </c>
      <c r="L17" s="10" t="s">
        <v>10</v>
      </c>
      <c r="M17" s="11" t="s">
        <v>10</v>
      </c>
    </row>
    <row r="18" spans="1:13" s="6" customFormat="1" x14ac:dyDescent="0.25">
      <c r="A18" s="38">
        <v>15</v>
      </c>
      <c r="B18" s="44" t="s">
        <v>40</v>
      </c>
      <c r="C18" s="34">
        <v>41743</v>
      </c>
      <c r="D18" s="22">
        <v>42035</v>
      </c>
      <c r="E18" s="28" t="s">
        <v>56</v>
      </c>
      <c r="F18" s="14" t="s">
        <v>10</v>
      </c>
      <c r="G18" s="15" t="s">
        <v>10</v>
      </c>
      <c r="H18" s="15" t="s">
        <v>10</v>
      </c>
      <c r="I18" s="15" t="s">
        <v>10</v>
      </c>
      <c r="J18" s="15" t="s">
        <v>10</v>
      </c>
      <c r="K18" s="15" t="s">
        <v>10</v>
      </c>
      <c r="L18" s="15" t="s">
        <v>10</v>
      </c>
      <c r="M18" s="16" t="s">
        <v>10</v>
      </c>
    </row>
    <row r="19" spans="1:13" s="6" customFormat="1" x14ac:dyDescent="0.25">
      <c r="A19" s="39">
        <v>16</v>
      </c>
      <c r="B19" s="44" t="s">
        <v>80</v>
      </c>
      <c r="C19" s="35" t="s">
        <v>81</v>
      </c>
      <c r="D19" s="31"/>
      <c r="E19" s="141"/>
      <c r="F19" s="142">
        <v>42004</v>
      </c>
      <c r="G19" s="15"/>
      <c r="H19" s="15"/>
      <c r="I19" s="15"/>
      <c r="J19" s="15"/>
      <c r="K19" s="15"/>
      <c r="L19" s="15"/>
      <c r="M19" s="16"/>
    </row>
    <row r="20" spans="1:13" s="6" customFormat="1" x14ac:dyDescent="0.25">
      <c r="A20" s="144" t="s">
        <v>83</v>
      </c>
      <c r="B20" s="145"/>
      <c r="C20" s="35"/>
      <c r="D20" s="31"/>
      <c r="E20" s="141"/>
      <c r="F20" s="142"/>
      <c r="G20" s="15"/>
      <c r="H20" s="15"/>
      <c r="I20" s="15"/>
      <c r="J20" s="15"/>
      <c r="K20" s="15"/>
      <c r="L20" s="15"/>
      <c r="M20" s="16"/>
    </row>
    <row r="21" spans="1:13" s="6" customFormat="1" ht="30" x14ac:dyDescent="0.25">
      <c r="A21" s="38">
        <v>17</v>
      </c>
      <c r="B21" s="43" t="s">
        <v>65</v>
      </c>
      <c r="C21" s="35">
        <v>41641</v>
      </c>
      <c r="D21" s="31">
        <v>41698</v>
      </c>
      <c r="E21" s="26" t="s">
        <v>15</v>
      </c>
      <c r="F21" s="9" t="s">
        <v>15</v>
      </c>
      <c r="G21" s="13">
        <v>41820</v>
      </c>
      <c r="H21" s="13">
        <v>41912</v>
      </c>
      <c r="I21" s="13">
        <v>42003</v>
      </c>
      <c r="J21" s="10"/>
      <c r="K21" s="10"/>
      <c r="L21" s="10"/>
      <c r="M21" s="11"/>
    </row>
    <row r="22" spans="1:13" s="6" customFormat="1" ht="30" x14ac:dyDescent="0.25">
      <c r="A22" s="39">
        <v>18</v>
      </c>
      <c r="B22" s="43" t="s">
        <v>66</v>
      </c>
      <c r="C22" s="35">
        <v>41641</v>
      </c>
      <c r="D22" s="31">
        <v>41698</v>
      </c>
      <c r="E22" s="26" t="s">
        <v>15</v>
      </c>
      <c r="F22" s="12" t="s">
        <v>67</v>
      </c>
      <c r="G22" s="13"/>
      <c r="H22" s="13"/>
      <c r="I22" s="13"/>
      <c r="J22" s="10"/>
      <c r="K22" s="10"/>
      <c r="L22" s="10"/>
      <c r="M22" s="11"/>
    </row>
    <row r="23" spans="1:13" s="6" customFormat="1" ht="60" x14ac:dyDescent="0.25">
      <c r="A23" s="38">
        <v>19</v>
      </c>
      <c r="B23" s="43" t="s">
        <v>29</v>
      </c>
      <c r="C23" s="34">
        <v>41641</v>
      </c>
      <c r="D23" s="31">
        <v>41729</v>
      </c>
      <c r="E23" s="26" t="s">
        <v>68</v>
      </c>
      <c r="F23" s="12" t="s">
        <v>69</v>
      </c>
      <c r="G23" s="13" t="s">
        <v>70</v>
      </c>
      <c r="H23" s="13" t="s">
        <v>71</v>
      </c>
      <c r="I23" s="13" t="s">
        <v>72</v>
      </c>
      <c r="J23" s="10"/>
      <c r="K23" s="10"/>
      <c r="L23" s="10"/>
      <c r="M23" s="11"/>
    </row>
    <row r="24" spans="1:13" s="6" customFormat="1" ht="30" x14ac:dyDescent="0.25">
      <c r="A24" s="39">
        <v>20</v>
      </c>
      <c r="B24" s="42" t="s">
        <v>55</v>
      </c>
      <c r="C24" s="34">
        <v>41641</v>
      </c>
      <c r="D24" s="31">
        <v>41729</v>
      </c>
      <c r="E24" s="26" t="s">
        <v>15</v>
      </c>
      <c r="F24" s="9" t="s">
        <v>15</v>
      </c>
      <c r="G24" s="13">
        <v>41820</v>
      </c>
      <c r="H24" s="13">
        <v>41912</v>
      </c>
      <c r="I24" s="13">
        <v>42003</v>
      </c>
      <c r="J24" s="10"/>
      <c r="K24" s="10"/>
      <c r="L24" s="10"/>
      <c r="M24" s="11"/>
    </row>
    <row r="25" spans="1:13" s="6" customFormat="1" ht="15.75" thickBot="1" x14ac:dyDescent="0.3">
      <c r="A25" s="40"/>
      <c r="B25" s="45"/>
      <c r="C25" s="36"/>
      <c r="D25" s="23"/>
      <c r="E25" s="29"/>
      <c r="F25" s="17"/>
      <c r="G25" s="18"/>
      <c r="H25" s="18"/>
      <c r="I25" s="18"/>
      <c r="J25" s="18"/>
      <c r="K25" s="18"/>
      <c r="L25" s="18"/>
      <c r="M25" s="19"/>
    </row>
    <row r="27" spans="1:13" x14ac:dyDescent="0.25">
      <c r="B27" s="32" t="s">
        <v>27</v>
      </c>
    </row>
    <row r="28" spans="1:13" x14ac:dyDescent="0.25">
      <c r="B28" s="30" t="s">
        <v>82</v>
      </c>
    </row>
  </sheetData>
  <mergeCells count="2">
    <mergeCell ref="A1:M1"/>
    <mergeCell ref="A20:B20"/>
  </mergeCells>
  <pageMargins left="0.25" right="0.25" top="0.75" bottom="0.75" header="0.3" footer="0.3"/>
  <pageSetup paperSize="9" scale="76" fitToHeight="0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1"/>
  <sheetViews>
    <sheetView tabSelected="1" zoomScale="80" zoomScaleNormal="80" zoomScalePageLayoutView="80" workbookViewId="0">
      <selection activeCell="F4" sqref="F4:BE4"/>
    </sheetView>
  </sheetViews>
  <sheetFormatPr defaultColWidth="8.85546875" defaultRowHeight="15" x14ac:dyDescent="0.25"/>
  <cols>
    <col min="1" max="1" width="4.42578125" style="2" customWidth="1"/>
    <col min="2" max="2" width="30.140625" style="30" customWidth="1"/>
    <col min="3" max="3" width="12.85546875" customWidth="1"/>
    <col min="4" max="4" width="17" customWidth="1"/>
    <col min="5" max="5" width="13.28515625" bestFit="1" customWidth="1"/>
    <col min="6" max="17" width="4.140625" customWidth="1"/>
    <col min="18" max="29" width="4.140625" bestFit="1" customWidth="1"/>
    <col min="30" max="57" width="4.140625" customWidth="1"/>
  </cols>
  <sheetData>
    <row r="1" spans="1:57" ht="15.75" thickBot="1" x14ac:dyDescent="0.3">
      <c r="A1"/>
      <c r="B1"/>
    </row>
    <row r="2" spans="1:57" ht="15.75" thickBot="1" x14ac:dyDescent="0.3">
      <c r="F2" s="147">
        <v>41640</v>
      </c>
      <c r="G2" s="148"/>
      <c r="H2" s="148"/>
      <c r="I2" s="149"/>
      <c r="J2" s="156">
        <v>41671</v>
      </c>
      <c r="K2" s="148"/>
      <c r="L2" s="148"/>
      <c r="M2" s="149"/>
      <c r="N2" s="147">
        <v>41699</v>
      </c>
      <c r="O2" s="148"/>
      <c r="P2" s="148"/>
      <c r="Q2" s="149"/>
      <c r="R2" s="147">
        <v>41730</v>
      </c>
      <c r="S2" s="148"/>
      <c r="T2" s="148"/>
      <c r="U2" s="149"/>
      <c r="V2" s="147">
        <v>41760</v>
      </c>
      <c r="W2" s="148"/>
      <c r="X2" s="148"/>
      <c r="Y2" s="149"/>
      <c r="Z2" s="147">
        <v>41791</v>
      </c>
      <c r="AA2" s="148"/>
      <c r="AB2" s="148"/>
      <c r="AC2" s="149"/>
      <c r="AD2" s="147">
        <v>41821</v>
      </c>
      <c r="AE2" s="148"/>
      <c r="AF2" s="148"/>
      <c r="AG2" s="149"/>
      <c r="AH2" s="147">
        <v>41852</v>
      </c>
      <c r="AI2" s="148"/>
      <c r="AJ2" s="148"/>
      <c r="AK2" s="149"/>
      <c r="AL2" s="147">
        <v>41883</v>
      </c>
      <c r="AM2" s="148"/>
      <c r="AN2" s="148"/>
      <c r="AO2" s="149"/>
      <c r="AP2" s="147">
        <v>41913</v>
      </c>
      <c r="AQ2" s="148"/>
      <c r="AR2" s="148"/>
      <c r="AS2" s="149"/>
      <c r="AT2" s="147">
        <v>41944</v>
      </c>
      <c r="AU2" s="148"/>
      <c r="AV2" s="148"/>
      <c r="AW2" s="149"/>
      <c r="AX2" s="147">
        <v>41974</v>
      </c>
      <c r="AY2" s="148"/>
      <c r="AZ2" s="148"/>
      <c r="BA2" s="149"/>
      <c r="BB2" s="147">
        <v>42005</v>
      </c>
      <c r="BC2" s="148"/>
      <c r="BD2" s="148"/>
      <c r="BE2" s="149"/>
    </row>
    <row r="3" spans="1:57" s="6" customFormat="1" ht="58.5" customHeight="1" thickBot="1" x14ac:dyDescent="0.3">
      <c r="A3" s="157" t="s">
        <v>64</v>
      </c>
      <c r="B3" s="158"/>
      <c r="C3" s="158"/>
      <c r="D3" s="158"/>
      <c r="E3" s="158"/>
      <c r="F3" s="77">
        <f t="shared" ref="F3:AS3" si="0">SUM(F5:F29)</f>
        <v>122000</v>
      </c>
      <c r="G3" s="78">
        <f t="shared" si="0"/>
        <v>317000</v>
      </c>
      <c r="H3" s="83">
        <f t="shared" si="0"/>
        <v>611000</v>
      </c>
      <c r="I3" s="79">
        <f t="shared" si="0"/>
        <v>124750</v>
      </c>
      <c r="J3" s="77">
        <f t="shared" si="0"/>
        <v>109580</v>
      </c>
      <c r="K3" s="78">
        <f t="shared" si="0"/>
        <v>168410</v>
      </c>
      <c r="L3" s="78">
        <f t="shared" si="0"/>
        <v>255990</v>
      </c>
      <c r="M3" s="79">
        <f t="shared" si="0"/>
        <v>314070</v>
      </c>
      <c r="N3" s="77">
        <f t="shared" si="0"/>
        <v>365050</v>
      </c>
      <c r="O3" s="78">
        <f t="shared" si="0"/>
        <v>445550</v>
      </c>
      <c r="P3" s="83">
        <f t="shared" si="0"/>
        <v>573550</v>
      </c>
      <c r="Q3" s="85">
        <f t="shared" si="0"/>
        <v>689250</v>
      </c>
      <c r="R3" s="84">
        <f t="shared" si="0"/>
        <v>732400</v>
      </c>
      <c r="S3" s="82">
        <f t="shared" si="0"/>
        <v>1105500</v>
      </c>
      <c r="T3" s="135">
        <f t="shared" si="0"/>
        <v>1597150</v>
      </c>
      <c r="U3" s="86">
        <f t="shared" si="0"/>
        <v>1278066.6666666667</v>
      </c>
      <c r="V3" s="136">
        <f t="shared" si="0"/>
        <v>824125</v>
      </c>
      <c r="W3" s="137">
        <f t="shared" si="0"/>
        <v>970150.00000000012</v>
      </c>
      <c r="X3" s="82">
        <f t="shared" si="0"/>
        <v>1150700</v>
      </c>
      <c r="Y3" s="86">
        <f t="shared" si="0"/>
        <v>1203000</v>
      </c>
      <c r="Z3" s="87">
        <f t="shared" si="0"/>
        <v>1196500</v>
      </c>
      <c r="AA3" s="82">
        <f t="shared" si="0"/>
        <v>1472500</v>
      </c>
      <c r="AB3" s="135">
        <f t="shared" si="0"/>
        <v>1681500</v>
      </c>
      <c r="AC3" s="86">
        <f t="shared" si="0"/>
        <v>1479500</v>
      </c>
      <c r="AD3" s="77">
        <f t="shared" si="0"/>
        <v>139750</v>
      </c>
      <c r="AE3" s="78">
        <f t="shared" si="0"/>
        <v>331750</v>
      </c>
      <c r="AF3" s="83">
        <f t="shared" si="0"/>
        <v>619750</v>
      </c>
      <c r="AG3" s="79">
        <f t="shared" si="0"/>
        <v>103750</v>
      </c>
      <c r="AH3" s="77">
        <f t="shared" si="0"/>
        <v>54750</v>
      </c>
      <c r="AI3" s="78">
        <f t="shared" si="0"/>
        <v>76750</v>
      </c>
      <c r="AJ3" s="78">
        <f t="shared" si="0"/>
        <v>109750</v>
      </c>
      <c r="AK3" s="79">
        <f t="shared" si="0"/>
        <v>103750</v>
      </c>
      <c r="AL3" s="77">
        <f t="shared" si="0"/>
        <v>54750</v>
      </c>
      <c r="AM3" s="78">
        <f t="shared" si="0"/>
        <v>76750</v>
      </c>
      <c r="AN3" s="78">
        <f t="shared" si="0"/>
        <v>109750</v>
      </c>
      <c r="AO3" s="79">
        <f t="shared" si="0"/>
        <v>103750</v>
      </c>
      <c r="AP3" s="77">
        <f t="shared" si="0"/>
        <v>139750</v>
      </c>
      <c r="AQ3" s="78">
        <f t="shared" si="0"/>
        <v>331750</v>
      </c>
      <c r="AR3" s="83">
        <f t="shared" si="0"/>
        <v>619750</v>
      </c>
      <c r="AS3" s="79">
        <f t="shared" si="0"/>
        <v>103750</v>
      </c>
      <c r="AT3" s="77">
        <f t="shared" ref="AT3:BA3" si="1">SUM(AT5:AT29)</f>
        <v>54750</v>
      </c>
      <c r="AU3" s="78">
        <f t="shared" si="1"/>
        <v>76750</v>
      </c>
      <c r="AV3" s="78">
        <f t="shared" si="1"/>
        <v>109750</v>
      </c>
      <c r="AW3" s="79">
        <f t="shared" si="1"/>
        <v>103750</v>
      </c>
      <c r="AX3" s="77">
        <f t="shared" si="1"/>
        <v>54750</v>
      </c>
      <c r="AY3" s="78">
        <f t="shared" si="1"/>
        <v>76750</v>
      </c>
      <c r="AZ3" s="78">
        <f t="shared" si="1"/>
        <v>109750</v>
      </c>
      <c r="BA3" s="79">
        <f t="shared" si="1"/>
        <v>103750</v>
      </c>
      <c r="BB3" s="77">
        <f>SUM(BB5:BB29)</f>
        <v>139750</v>
      </c>
      <c r="BC3" s="78">
        <f>SUM(BC5:BC29)</f>
        <v>316125</v>
      </c>
      <c r="BD3" s="83">
        <f>SUM(BD5:BD29)</f>
        <v>598916.66666666674</v>
      </c>
      <c r="BE3" s="79">
        <f>SUM(BE5:BE29)</f>
        <v>82916.666666666672</v>
      </c>
    </row>
    <row r="4" spans="1:57" ht="45.75" thickBot="1" x14ac:dyDescent="0.3">
      <c r="A4" s="80" t="s">
        <v>0</v>
      </c>
      <c r="B4" s="81" t="s">
        <v>1</v>
      </c>
      <c r="C4" s="125" t="s">
        <v>2</v>
      </c>
      <c r="D4" s="126" t="s">
        <v>3</v>
      </c>
      <c r="E4" s="127" t="s">
        <v>32</v>
      </c>
      <c r="F4" s="150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2"/>
    </row>
    <row r="5" spans="1:57" s="6" customFormat="1" ht="53.25" customHeight="1" x14ac:dyDescent="0.25">
      <c r="A5" s="58">
        <v>1</v>
      </c>
      <c r="B5" s="59" t="s">
        <v>14</v>
      </c>
      <c r="C5" s="129">
        <v>41718</v>
      </c>
      <c r="D5" s="60">
        <v>41820</v>
      </c>
      <c r="E5" s="124">
        <v>5800000</v>
      </c>
      <c r="F5" s="61"/>
      <c r="G5" s="62"/>
      <c r="H5" s="62"/>
      <c r="I5" s="63"/>
      <c r="J5" s="64"/>
      <c r="K5" s="62"/>
      <c r="L5" s="62"/>
      <c r="M5" s="63"/>
      <c r="N5" s="61"/>
      <c r="O5" s="62"/>
      <c r="P5" s="62"/>
      <c r="Q5" s="67">
        <f>1%*$E5</f>
        <v>58000</v>
      </c>
      <c r="R5" s="65">
        <f>2%*$E5</f>
        <v>116000</v>
      </c>
      <c r="S5" s="66">
        <f>3%*$E5</f>
        <v>174000</v>
      </c>
      <c r="T5" s="66">
        <f>4%*$E5</f>
        <v>232000</v>
      </c>
      <c r="U5" s="67">
        <f>5%*$E5</f>
        <v>290000</v>
      </c>
      <c r="V5" s="65">
        <f>6%*$E5</f>
        <v>348000</v>
      </c>
      <c r="W5" s="66">
        <f>7%*$E5</f>
        <v>406000.00000000006</v>
      </c>
      <c r="X5" s="66">
        <f>8%*$E5</f>
        <v>464000</v>
      </c>
      <c r="Y5" s="67">
        <f>9%*$E5</f>
        <v>522000</v>
      </c>
      <c r="Z5" s="65">
        <f>11%*$E5</f>
        <v>638000</v>
      </c>
      <c r="AA5" s="66">
        <f>14%*$E5</f>
        <v>812000.00000000012</v>
      </c>
      <c r="AB5" s="66">
        <f>16%*$E5</f>
        <v>928000</v>
      </c>
      <c r="AC5" s="67">
        <f>14%*$E5</f>
        <v>812000.00000000012</v>
      </c>
      <c r="AD5" s="61"/>
      <c r="AE5" s="62"/>
      <c r="AF5" s="62"/>
      <c r="AG5" s="63"/>
      <c r="AH5" s="61"/>
      <c r="AI5" s="62"/>
      <c r="AJ5" s="62"/>
      <c r="AK5" s="63"/>
      <c r="AL5" s="61"/>
      <c r="AM5" s="62"/>
      <c r="AN5" s="62"/>
      <c r="AO5" s="63"/>
      <c r="AP5" s="61"/>
      <c r="AQ5" s="62"/>
      <c r="AR5" s="62"/>
      <c r="AS5" s="63"/>
      <c r="AT5" s="61"/>
      <c r="AU5" s="62"/>
      <c r="AV5" s="62"/>
      <c r="AW5" s="63"/>
      <c r="AX5" s="61"/>
      <c r="AY5" s="62"/>
      <c r="AZ5" s="62"/>
      <c r="BA5" s="63"/>
      <c r="BB5" s="61"/>
      <c r="BC5" s="62"/>
      <c r="BD5" s="62"/>
      <c r="BE5" s="63"/>
    </row>
    <row r="6" spans="1:57" s="6" customFormat="1" ht="55.5" customHeight="1" x14ac:dyDescent="0.25">
      <c r="A6" s="39">
        <v>2</v>
      </c>
      <c r="B6" s="43" t="s">
        <v>17</v>
      </c>
      <c r="C6" s="130">
        <v>41701</v>
      </c>
      <c r="D6" s="131">
        <v>41759</v>
      </c>
      <c r="E6" s="124">
        <v>150000</v>
      </c>
      <c r="F6" s="53"/>
      <c r="G6" s="49"/>
      <c r="H6" s="49"/>
      <c r="I6" s="54"/>
      <c r="J6" s="51"/>
      <c r="K6" s="49"/>
      <c r="L6" s="49"/>
      <c r="M6" s="54"/>
      <c r="N6" s="55">
        <f>$E6*5%</f>
        <v>7500</v>
      </c>
      <c r="O6" s="50">
        <f>$E6*8%</f>
        <v>12000</v>
      </c>
      <c r="P6" s="50">
        <f>$E6*10%</f>
        <v>15000</v>
      </c>
      <c r="Q6" s="56">
        <f>$E6*12%</f>
        <v>18000</v>
      </c>
      <c r="R6" s="55">
        <f>$E6*15%</f>
        <v>22500</v>
      </c>
      <c r="S6" s="50">
        <f>$E6*16%</f>
        <v>24000</v>
      </c>
      <c r="T6" s="50">
        <f>$E6*18%</f>
        <v>27000</v>
      </c>
      <c r="U6" s="56">
        <f>$E6*16%</f>
        <v>24000</v>
      </c>
      <c r="V6" s="53"/>
      <c r="W6" s="49"/>
      <c r="X6" s="49"/>
      <c r="Y6" s="54"/>
      <c r="Z6" s="53"/>
      <c r="AA6" s="49"/>
      <c r="AB6" s="49"/>
      <c r="AC6" s="54"/>
      <c r="AD6" s="53"/>
      <c r="AE6" s="49"/>
      <c r="AF6" s="49"/>
      <c r="AG6" s="54"/>
      <c r="AH6" s="53"/>
      <c r="AI6" s="49"/>
      <c r="AJ6" s="49"/>
      <c r="AK6" s="54"/>
      <c r="AL6" s="53"/>
      <c r="AM6" s="49"/>
      <c r="AN6" s="49"/>
      <c r="AO6" s="54"/>
      <c r="AP6" s="53"/>
      <c r="AQ6" s="49"/>
      <c r="AR6" s="49"/>
      <c r="AS6" s="54"/>
      <c r="AT6" s="53"/>
      <c r="AU6" s="49"/>
      <c r="AV6" s="49"/>
      <c r="AW6" s="54"/>
      <c r="AX6" s="53"/>
      <c r="AY6" s="49"/>
      <c r="AZ6" s="49"/>
      <c r="BA6" s="54"/>
      <c r="BB6" s="53"/>
      <c r="BC6" s="49"/>
      <c r="BD6" s="49"/>
      <c r="BE6" s="54"/>
    </row>
    <row r="7" spans="1:57" s="6" customFormat="1" ht="59.25" customHeight="1" x14ac:dyDescent="0.25">
      <c r="A7" s="38">
        <v>3</v>
      </c>
      <c r="B7" s="43" t="s">
        <v>19</v>
      </c>
      <c r="C7" s="130">
        <v>41743</v>
      </c>
      <c r="D7" s="131">
        <v>41789</v>
      </c>
      <c r="E7" s="124">
        <v>75000</v>
      </c>
      <c r="F7" s="53"/>
      <c r="G7" s="49"/>
      <c r="H7" s="49"/>
      <c r="I7" s="54"/>
      <c r="J7" s="51"/>
      <c r="K7" s="49"/>
      <c r="L7" s="49"/>
      <c r="M7" s="54"/>
      <c r="N7" s="53"/>
      <c r="O7" s="49"/>
      <c r="P7" s="49"/>
      <c r="Q7" s="54"/>
      <c r="R7" s="53"/>
      <c r="S7" s="49"/>
      <c r="T7" s="50">
        <f>$E7*5%</f>
        <v>3750</v>
      </c>
      <c r="U7" s="56">
        <f>$E7*8%</f>
        <v>6000</v>
      </c>
      <c r="V7" s="55">
        <f>$E7*20%</f>
        <v>15000</v>
      </c>
      <c r="W7" s="50">
        <f>$E7*25%</f>
        <v>18750</v>
      </c>
      <c r="X7" s="50">
        <f>$E7*28%</f>
        <v>21000.000000000004</v>
      </c>
      <c r="Y7" s="56">
        <f>$E7*14%</f>
        <v>10500.000000000002</v>
      </c>
      <c r="Z7" s="53"/>
      <c r="AA7" s="49"/>
      <c r="AB7" s="49"/>
      <c r="AC7" s="54"/>
      <c r="AD7" s="53"/>
      <c r="AE7" s="49"/>
      <c r="AF7" s="49"/>
      <c r="AG7" s="54"/>
      <c r="AH7" s="53"/>
      <c r="AI7" s="49"/>
      <c r="AJ7" s="49"/>
      <c r="AK7" s="54"/>
      <c r="AL7" s="53"/>
      <c r="AM7" s="49"/>
      <c r="AN7" s="49"/>
      <c r="AO7" s="54"/>
      <c r="AP7" s="53"/>
      <c r="AQ7" s="49"/>
      <c r="AR7" s="49"/>
      <c r="AS7" s="54"/>
      <c r="AT7" s="53"/>
      <c r="AU7" s="49"/>
      <c r="AV7" s="49"/>
      <c r="AW7" s="54"/>
      <c r="AX7" s="53"/>
      <c r="AY7" s="49"/>
      <c r="AZ7" s="49"/>
      <c r="BA7" s="54"/>
      <c r="BB7" s="53"/>
      <c r="BC7" s="49"/>
      <c r="BD7" s="49"/>
      <c r="BE7" s="54"/>
    </row>
    <row r="8" spans="1:57" s="6" customFormat="1" ht="56.25" customHeight="1" x14ac:dyDescent="0.25">
      <c r="A8" s="39">
        <v>4</v>
      </c>
      <c r="B8" s="43" t="s">
        <v>20</v>
      </c>
      <c r="C8" s="130">
        <v>41743</v>
      </c>
      <c r="D8" s="131">
        <v>41790</v>
      </c>
      <c r="E8" s="124">
        <v>5000</v>
      </c>
      <c r="F8" s="53"/>
      <c r="G8" s="49"/>
      <c r="H8" s="49"/>
      <c r="I8" s="54"/>
      <c r="J8" s="51"/>
      <c r="K8" s="49"/>
      <c r="L8" s="49"/>
      <c r="M8" s="54"/>
      <c r="N8" s="53"/>
      <c r="O8" s="49"/>
      <c r="P8" s="49"/>
      <c r="Q8" s="54"/>
      <c r="R8" s="53"/>
      <c r="S8" s="49"/>
      <c r="T8" s="50">
        <f>$E8*5%</f>
        <v>250</v>
      </c>
      <c r="U8" s="56">
        <f>$E8*8%</f>
        <v>400</v>
      </c>
      <c r="V8" s="55">
        <f>$E8*20%</f>
        <v>1000</v>
      </c>
      <c r="W8" s="50">
        <f>$E8*25%</f>
        <v>1250</v>
      </c>
      <c r="X8" s="50">
        <f>$E8*28%</f>
        <v>1400.0000000000002</v>
      </c>
      <c r="Y8" s="56">
        <f>$E8*14%</f>
        <v>700.00000000000011</v>
      </c>
      <c r="Z8" s="53"/>
      <c r="AA8" s="49"/>
      <c r="AB8" s="49"/>
      <c r="AC8" s="54"/>
      <c r="AD8" s="53"/>
      <c r="AE8" s="49"/>
      <c r="AF8" s="49"/>
      <c r="AG8" s="54"/>
      <c r="AH8" s="53"/>
      <c r="AI8" s="49"/>
      <c r="AJ8" s="49"/>
      <c r="AK8" s="54"/>
      <c r="AL8" s="53"/>
      <c r="AM8" s="49"/>
      <c r="AN8" s="49"/>
      <c r="AO8" s="54"/>
      <c r="AP8" s="53"/>
      <c r="AQ8" s="49"/>
      <c r="AR8" s="49"/>
      <c r="AS8" s="54"/>
      <c r="AT8" s="53"/>
      <c r="AU8" s="49"/>
      <c r="AV8" s="49"/>
      <c r="AW8" s="54"/>
      <c r="AX8" s="53"/>
      <c r="AY8" s="49"/>
      <c r="AZ8" s="49"/>
      <c r="BA8" s="54"/>
      <c r="BB8" s="53"/>
      <c r="BC8" s="49"/>
      <c r="BD8" s="49"/>
      <c r="BE8" s="54"/>
    </row>
    <row r="9" spans="1:57" s="6" customFormat="1" ht="62.25" customHeight="1" x14ac:dyDescent="0.25">
      <c r="A9" s="38">
        <v>5</v>
      </c>
      <c r="B9" s="43" t="s">
        <v>21</v>
      </c>
      <c r="C9" s="130">
        <v>41673</v>
      </c>
      <c r="D9" s="131">
        <v>41744</v>
      </c>
      <c r="E9" s="124">
        <v>50000</v>
      </c>
      <c r="F9" s="53"/>
      <c r="G9" s="49"/>
      <c r="H9" s="49"/>
      <c r="I9" s="54"/>
      <c r="J9" s="52">
        <f>$E9*1%</f>
        <v>500</v>
      </c>
      <c r="K9" s="50">
        <f>$E9*3%</f>
        <v>1500</v>
      </c>
      <c r="L9" s="50">
        <f>$E9*6%</f>
        <v>3000</v>
      </c>
      <c r="M9" s="56">
        <f>$E9*8%</f>
        <v>4000</v>
      </c>
      <c r="N9" s="55">
        <f>$E9*10%</f>
        <v>5000</v>
      </c>
      <c r="O9" s="50">
        <f>$E9*12%</f>
        <v>6000</v>
      </c>
      <c r="P9" s="50">
        <f>$E9*14%</f>
        <v>7000.0000000000009</v>
      </c>
      <c r="Q9" s="56">
        <f>$E9*15%</f>
        <v>7500</v>
      </c>
      <c r="R9" s="55">
        <f>$E9*17%</f>
        <v>8500</v>
      </c>
      <c r="S9" s="50">
        <f>$E9*14%</f>
        <v>7000.0000000000009</v>
      </c>
      <c r="T9" s="49"/>
      <c r="U9" s="54"/>
      <c r="V9" s="53"/>
      <c r="W9" s="49"/>
      <c r="X9" s="49"/>
      <c r="Y9" s="54"/>
      <c r="Z9" s="53"/>
      <c r="AA9" s="49"/>
      <c r="AB9" s="49"/>
      <c r="AC9" s="54"/>
      <c r="AD9" s="53"/>
      <c r="AE9" s="49"/>
      <c r="AF9" s="49"/>
      <c r="AG9" s="54"/>
      <c r="AH9" s="53"/>
      <c r="AI9" s="49"/>
      <c r="AJ9" s="49"/>
      <c r="AK9" s="54"/>
      <c r="AL9" s="53"/>
      <c r="AM9" s="49"/>
      <c r="AN9" s="49"/>
      <c r="AO9" s="54"/>
      <c r="AP9" s="53"/>
      <c r="AQ9" s="49"/>
      <c r="AR9" s="49"/>
      <c r="AS9" s="54"/>
      <c r="AT9" s="53"/>
      <c r="AU9" s="49"/>
      <c r="AV9" s="49"/>
      <c r="AW9" s="54"/>
      <c r="AX9" s="53"/>
      <c r="AY9" s="49"/>
      <c r="AZ9" s="49"/>
      <c r="BA9" s="54"/>
      <c r="BB9" s="53"/>
      <c r="BC9" s="49"/>
      <c r="BD9" s="49"/>
      <c r="BE9" s="54"/>
    </row>
    <row r="10" spans="1:57" s="6" customFormat="1" ht="49.5" customHeight="1" x14ac:dyDescent="0.25">
      <c r="A10" s="39">
        <v>6</v>
      </c>
      <c r="B10" s="42" t="s">
        <v>33</v>
      </c>
      <c r="C10" s="99" t="s">
        <v>54</v>
      </c>
      <c r="D10" s="47">
        <v>41820</v>
      </c>
      <c r="E10" s="124">
        <v>3000000</v>
      </c>
      <c r="F10" s="53"/>
      <c r="G10" s="49"/>
      <c r="H10" s="49"/>
      <c r="I10" s="54"/>
      <c r="J10" s="52">
        <f>$E10*0.002%</f>
        <v>60.000000000000007</v>
      </c>
      <c r="K10" s="50">
        <f>$E10*0.004%</f>
        <v>120.00000000000001</v>
      </c>
      <c r="L10" s="50">
        <f>$E10*0.006%</f>
        <v>180</v>
      </c>
      <c r="M10" s="56">
        <f>$E10*0.008%</f>
        <v>240.00000000000003</v>
      </c>
      <c r="N10" s="55">
        <f>$E10*0.32%</f>
        <v>9600</v>
      </c>
      <c r="O10" s="50">
        <f>$E10*0.57%</f>
        <v>17099.999999999996</v>
      </c>
      <c r="P10" s="50">
        <f>$E10*0.72%</f>
        <v>21600</v>
      </c>
      <c r="Q10" s="56">
        <f>$E10*1%</f>
        <v>30000</v>
      </c>
      <c r="R10" s="55">
        <f>$E10*1.6%</f>
        <v>48000</v>
      </c>
      <c r="S10" s="50">
        <f>$E10*2%</f>
        <v>60000</v>
      </c>
      <c r="T10" s="50">
        <f>$E10*4%</f>
        <v>120000</v>
      </c>
      <c r="U10" s="56">
        <f>$E10*5%</f>
        <v>150000</v>
      </c>
      <c r="V10" s="55">
        <f>$E10*6%</f>
        <v>180000</v>
      </c>
      <c r="W10" s="50">
        <f>$E10*7%</f>
        <v>210000.00000000003</v>
      </c>
      <c r="X10" s="50">
        <f>$E10*9%</f>
        <v>270000</v>
      </c>
      <c r="Y10" s="56">
        <f>$E10*9.77%</f>
        <v>293100</v>
      </c>
      <c r="Z10" s="55">
        <f>$E10*11.5%</f>
        <v>345000</v>
      </c>
      <c r="AA10" s="50">
        <f>$E10*13.5%</f>
        <v>405000</v>
      </c>
      <c r="AB10" s="50">
        <f>$E10*15%</f>
        <v>450000</v>
      </c>
      <c r="AC10" s="56">
        <f>$E10*13%</f>
        <v>390000</v>
      </c>
      <c r="AD10" s="53"/>
      <c r="AE10" s="49"/>
      <c r="AF10" s="49"/>
      <c r="AG10" s="54"/>
      <c r="AH10" s="53"/>
      <c r="AI10" s="49"/>
      <c r="AJ10" s="49"/>
      <c r="AK10" s="54"/>
      <c r="AL10" s="53"/>
      <c r="AM10" s="49"/>
      <c r="AN10" s="49"/>
      <c r="AO10" s="54"/>
      <c r="AP10" s="53"/>
      <c r="AQ10" s="49"/>
      <c r="AR10" s="49"/>
      <c r="AS10" s="54"/>
      <c r="AT10" s="53"/>
      <c r="AU10" s="49"/>
      <c r="AV10" s="49"/>
      <c r="AW10" s="54"/>
      <c r="AX10" s="53"/>
      <c r="AY10" s="49"/>
      <c r="AZ10" s="49"/>
      <c r="BA10" s="54"/>
      <c r="BB10" s="53"/>
      <c r="BC10" s="49"/>
      <c r="BD10" s="49"/>
      <c r="BE10" s="54"/>
    </row>
    <row r="11" spans="1:57" s="6" customFormat="1" ht="55.5" customHeight="1" x14ac:dyDescent="0.25">
      <c r="A11" s="38">
        <v>7</v>
      </c>
      <c r="B11" s="42" t="s">
        <v>34</v>
      </c>
      <c r="C11" s="99" t="s">
        <v>54</v>
      </c>
      <c r="D11" s="47">
        <v>41820</v>
      </c>
      <c r="E11" s="124">
        <v>1000000</v>
      </c>
      <c r="F11" s="53"/>
      <c r="G11" s="49"/>
      <c r="H11" s="49"/>
      <c r="I11" s="54"/>
      <c r="J11" s="52">
        <f>$E11*0.002%</f>
        <v>20</v>
      </c>
      <c r="K11" s="50">
        <f>$E11*0.004%</f>
        <v>40</v>
      </c>
      <c r="L11" s="50">
        <f>$E11*0.006%</f>
        <v>60</v>
      </c>
      <c r="M11" s="56">
        <f>$E11*0.008%</f>
        <v>80</v>
      </c>
      <c r="N11" s="55">
        <f>$E11*0.32%</f>
        <v>3200</v>
      </c>
      <c r="O11" s="50">
        <f>$E11*0.57%</f>
        <v>5699.9999999999991</v>
      </c>
      <c r="P11" s="50">
        <f>$E11*0.72%</f>
        <v>7200</v>
      </c>
      <c r="Q11" s="56">
        <f>$E11*1%</f>
        <v>10000</v>
      </c>
      <c r="R11" s="55">
        <f>$E11*1.6%</f>
        <v>16000</v>
      </c>
      <c r="S11" s="50">
        <f>$E11*2%</f>
        <v>20000</v>
      </c>
      <c r="T11" s="50">
        <f>$E11*4%</f>
        <v>40000</v>
      </c>
      <c r="U11" s="56">
        <f>$E11*5%</f>
        <v>50000</v>
      </c>
      <c r="V11" s="55">
        <f>$E11*6%</f>
        <v>60000</v>
      </c>
      <c r="W11" s="50">
        <f>$E11*7%</f>
        <v>70000</v>
      </c>
      <c r="X11" s="50">
        <f>$E11*9%</f>
        <v>90000</v>
      </c>
      <c r="Y11" s="56">
        <f>$E11*9.77%</f>
        <v>97700</v>
      </c>
      <c r="Z11" s="55">
        <f>$E11*11.5%</f>
        <v>115000</v>
      </c>
      <c r="AA11" s="50">
        <f>$E11*13.5%</f>
        <v>135000</v>
      </c>
      <c r="AB11" s="50">
        <f>$E11*15%</f>
        <v>150000</v>
      </c>
      <c r="AC11" s="56">
        <f>$E11*13%</f>
        <v>130000</v>
      </c>
      <c r="AD11" s="53"/>
      <c r="AE11" s="49"/>
      <c r="AF11" s="49"/>
      <c r="AG11" s="54"/>
      <c r="AH11" s="53"/>
      <c r="AI11" s="49"/>
      <c r="AJ11" s="49"/>
      <c r="AK11" s="54"/>
      <c r="AL11" s="53"/>
      <c r="AM11" s="49"/>
      <c r="AN11" s="49"/>
      <c r="AO11" s="54"/>
      <c r="AP11" s="53"/>
      <c r="AQ11" s="49"/>
      <c r="AR11" s="49"/>
      <c r="AS11" s="54"/>
      <c r="AT11" s="53"/>
      <c r="AU11" s="49"/>
      <c r="AV11" s="49"/>
      <c r="AW11" s="54"/>
      <c r="AX11" s="53"/>
      <c r="AY11" s="49"/>
      <c r="AZ11" s="49"/>
      <c r="BA11" s="54"/>
      <c r="BB11" s="53"/>
      <c r="BC11" s="49"/>
      <c r="BD11" s="49"/>
      <c r="BE11" s="54"/>
    </row>
    <row r="12" spans="1:57" s="6" customFormat="1" ht="30" x14ac:dyDescent="0.25">
      <c r="A12" s="39">
        <v>8</v>
      </c>
      <c r="B12" s="43" t="s">
        <v>28</v>
      </c>
      <c r="C12" s="132">
        <v>41641</v>
      </c>
      <c r="D12" s="46">
        <v>41698</v>
      </c>
      <c r="E12" s="124" t="s">
        <v>58</v>
      </c>
      <c r="F12" s="53"/>
      <c r="G12" s="49"/>
      <c r="H12" s="49"/>
      <c r="I12" s="54"/>
      <c r="J12" s="53"/>
      <c r="K12" s="49"/>
      <c r="L12" s="49"/>
      <c r="M12" s="54"/>
      <c r="N12" s="53"/>
      <c r="O12" s="49"/>
      <c r="P12" s="49"/>
      <c r="Q12" s="54"/>
      <c r="R12" s="53"/>
      <c r="S12" s="49"/>
      <c r="T12" s="49"/>
      <c r="U12" s="54"/>
      <c r="V12" s="53"/>
      <c r="W12" s="49"/>
      <c r="X12" s="49"/>
      <c r="Y12" s="54"/>
      <c r="Z12" s="53"/>
      <c r="AA12" s="49"/>
      <c r="AB12" s="49"/>
      <c r="AC12" s="54"/>
      <c r="AD12" s="53"/>
      <c r="AE12" s="49"/>
      <c r="AF12" s="49"/>
      <c r="AG12" s="54"/>
      <c r="AH12" s="53"/>
      <c r="AI12" s="49"/>
      <c r="AJ12" s="49"/>
      <c r="AK12" s="54"/>
      <c r="AL12" s="53"/>
      <c r="AM12" s="49"/>
      <c r="AN12" s="49"/>
      <c r="AO12" s="54"/>
      <c r="AP12" s="53"/>
      <c r="AQ12" s="49"/>
      <c r="AR12" s="49"/>
      <c r="AS12" s="54"/>
      <c r="AT12" s="53"/>
      <c r="AU12" s="49"/>
      <c r="AV12" s="49"/>
      <c r="AW12" s="54"/>
      <c r="AX12" s="53"/>
      <c r="AY12" s="49"/>
      <c r="AZ12" s="49"/>
      <c r="BA12" s="54"/>
      <c r="BB12" s="53"/>
      <c r="BC12" s="49"/>
      <c r="BD12" s="49"/>
      <c r="BE12" s="54"/>
    </row>
    <row r="13" spans="1:57" s="6" customFormat="1" ht="26.25" customHeight="1" x14ac:dyDescent="0.25">
      <c r="A13" s="38">
        <v>9</v>
      </c>
      <c r="B13" s="43" t="s">
        <v>29</v>
      </c>
      <c r="C13" s="130">
        <v>41641</v>
      </c>
      <c r="D13" s="46">
        <v>41729</v>
      </c>
      <c r="E13" s="124" t="s">
        <v>58</v>
      </c>
      <c r="F13" s="53"/>
      <c r="G13" s="49"/>
      <c r="H13" s="49"/>
      <c r="I13" s="54"/>
      <c r="J13" s="53"/>
      <c r="K13" s="49"/>
      <c r="L13" s="49"/>
      <c r="M13" s="54"/>
      <c r="N13" s="53"/>
      <c r="O13" s="49"/>
      <c r="P13" s="49"/>
      <c r="Q13" s="54"/>
      <c r="R13" s="53"/>
      <c r="S13" s="49"/>
      <c r="T13" s="49"/>
      <c r="U13" s="54"/>
      <c r="V13" s="53"/>
      <c r="W13" s="49"/>
      <c r="X13" s="49"/>
      <c r="Y13" s="54"/>
      <c r="Z13" s="53"/>
      <c r="AA13" s="49"/>
      <c r="AB13" s="49"/>
      <c r="AC13" s="54"/>
      <c r="AD13" s="53"/>
      <c r="AE13" s="49"/>
      <c r="AF13" s="49"/>
      <c r="AG13" s="54"/>
      <c r="AH13" s="53"/>
      <c r="AI13" s="49"/>
      <c r="AJ13" s="49"/>
      <c r="AK13" s="54"/>
      <c r="AL13" s="53"/>
      <c r="AM13" s="49"/>
      <c r="AN13" s="49"/>
      <c r="AO13" s="54"/>
      <c r="AP13" s="53"/>
      <c r="AQ13" s="49"/>
      <c r="AR13" s="49"/>
      <c r="AS13" s="54"/>
      <c r="AT13" s="53"/>
      <c r="AU13" s="49"/>
      <c r="AV13" s="49"/>
      <c r="AW13" s="54"/>
      <c r="AX13" s="53"/>
      <c r="AY13" s="49"/>
      <c r="AZ13" s="49"/>
      <c r="BA13" s="54"/>
      <c r="BB13" s="53"/>
      <c r="BC13" s="49"/>
      <c r="BD13" s="49"/>
      <c r="BE13" s="54"/>
    </row>
    <row r="14" spans="1:57" s="6" customFormat="1" ht="30" x14ac:dyDescent="0.25">
      <c r="A14" s="39">
        <v>10</v>
      </c>
      <c r="B14" s="42" t="s">
        <v>55</v>
      </c>
      <c r="C14" s="130">
        <v>41641</v>
      </c>
      <c r="D14" s="46">
        <v>41729</v>
      </c>
      <c r="E14" s="124" t="s">
        <v>58</v>
      </c>
      <c r="F14" s="53"/>
      <c r="G14" s="49"/>
      <c r="H14" s="49"/>
      <c r="I14" s="54"/>
      <c r="J14" s="53"/>
      <c r="K14" s="49"/>
      <c r="L14" s="49"/>
      <c r="M14" s="54"/>
      <c r="N14" s="53"/>
      <c r="O14" s="49"/>
      <c r="P14" s="49"/>
      <c r="Q14" s="54"/>
      <c r="R14" s="53"/>
      <c r="S14" s="49"/>
      <c r="T14" s="49"/>
      <c r="U14" s="54"/>
      <c r="V14" s="53"/>
      <c r="W14" s="49"/>
      <c r="X14" s="49"/>
      <c r="Y14" s="54"/>
      <c r="Z14" s="53"/>
      <c r="AA14" s="49"/>
      <c r="AB14" s="49"/>
      <c r="AC14" s="54"/>
      <c r="AD14" s="53"/>
      <c r="AE14" s="49"/>
      <c r="AF14" s="49"/>
      <c r="AG14" s="54"/>
      <c r="AH14" s="53"/>
      <c r="AI14" s="49"/>
      <c r="AJ14" s="49"/>
      <c r="AK14" s="54"/>
      <c r="AL14" s="53"/>
      <c r="AM14" s="49"/>
      <c r="AN14" s="49"/>
      <c r="AO14" s="54"/>
      <c r="AP14" s="53"/>
      <c r="AQ14" s="49"/>
      <c r="AR14" s="49"/>
      <c r="AS14" s="54"/>
      <c r="AT14" s="53"/>
      <c r="AU14" s="49"/>
      <c r="AV14" s="49"/>
      <c r="AW14" s="54"/>
      <c r="AX14" s="53"/>
      <c r="AY14" s="49"/>
      <c r="AZ14" s="49"/>
      <c r="BA14" s="54"/>
      <c r="BB14" s="53"/>
      <c r="BC14" s="49"/>
      <c r="BD14" s="49"/>
      <c r="BE14" s="54"/>
    </row>
    <row r="15" spans="1:57" s="6" customFormat="1" ht="46.5" customHeight="1" x14ac:dyDescent="0.25">
      <c r="A15" s="38">
        <v>11</v>
      </c>
      <c r="B15" s="43" t="s">
        <v>25</v>
      </c>
      <c r="C15" s="132">
        <v>41673</v>
      </c>
      <c r="D15" s="131">
        <v>41759</v>
      </c>
      <c r="E15" s="124">
        <v>600000</v>
      </c>
      <c r="F15" s="53"/>
      <c r="G15" s="49"/>
      <c r="H15" s="49"/>
      <c r="I15" s="54"/>
      <c r="J15" s="52">
        <f>$E15*1%</f>
        <v>6000</v>
      </c>
      <c r="K15" s="50">
        <f>$E15*2%</f>
        <v>12000</v>
      </c>
      <c r="L15" s="50">
        <f>$E15*3%</f>
        <v>18000</v>
      </c>
      <c r="M15" s="56">
        <f>$E15*4%</f>
        <v>24000</v>
      </c>
      <c r="N15" s="55">
        <f>$E15*6%</f>
        <v>36000</v>
      </c>
      <c r="O15" s="50">
        <f>$E15*7%</f>
        <v>42000.000000000007</v>
      </c>
      <c r="P15" s="50">
        <f>$E15*10%</f>
        <v>60000</v>
      </c>
      <c r="Q15" s="56">
        <f>$E15*12%</f>
        <v>72000</v>
      </c>
      <c r="R15" s="55">
        <f>$E15*13%</f>
        <v>78000</v>
      </c>
      <c r="S15" s="50">
        <f>$E15*15%</f>
        <v>90000</v>
      </c>
      <c r="T15" s="50">
        <f>$E15*15%</f>
        <v>90000</v>
      </c>
      <c r="U15" s="56">
        <f>$E15*12%</f>
        <v>72000</v>
      </c>
      <c r="V15" s="53"/>
      <c r="W15" s="49"/>
      <c r="X15" s="49"/>
      <c r="Y15" s="54"/>
      <c r="Z15" s="53"/>
      <c r="AA15" s="49"/>
      <c r="AB15" s="49"/>
      <c r="AC15" s="54"/>
      <c r="AD15" s="53"/>
      <c r="AE15" s="49"/>
      <c r="AF15" s="49"/>
      <c r="AG15" s="54"/>
      <c r="AH15" s="53"/>
      <c r="AI15" s="49"/>
      <c r="AJ15" s="49"/>
      <c r="AK15" s="54"/>
      <c r="AL15" s="53"/>
      <c r="AM15" s="49"/>
      <c r="AN15" s="49"/>
      <c r="AO15" s="54"/>
      <c r="AP15" s="53"/>
      <c r="AQ15" s="49"/>
      <c r="AR15" s="49"/>
      <c r="AS15" s="54"/>
      <c r="AT15" s="53"/>
      <c r="AU15" s="49"/>
      <c r="AV15" s="49"/>
      <c r="AW15" s="54"/>
      <c r="AX15" s="53"/>
      <c r="AY15" s="49"/>
      <c r="AZ15" s="49"/>
      <c r="BA15" s="54"/>
      <c r="BB15" s="53"/>
      <c r="BC15" s="49"/>
      <c r="BD15" s="49"/>
      <c r="BE15" s="54"/>
    </row>
    <row r="16" spans="1:57" s="6" customFormat="1" ht="55.5" customHeight="1" x14ac:dyDescent="0.25">
      <c r="A16" s="39">
        <v>12</v>
      </c>
      <c r="B16" s="43" t="s">
        <v>36</v>
      </c>
      <c r="C16" s="134">
        <v>41666</v>
      </c>
      <c r="D16" s="131">
        <v>41726</v>
      </c>
      <c r="E16" s="124">
        <v>1000000</v>
      </c>
      <c r="F16" s="53"/>
      <c r="G16" s="49"/>
      <c r="H16" s="49"/>
      <c r="I16" s="56">
        <f>$E16*2%</f>
        <v>20000</v>
      </c>
      <c r="J16" s="52">
        <f>$E16*3%</f>
        <v>30000</v>
      </c>
      <c r="K16" s="50">
        <f>$E16*5%</f>
        <v>50000</v>
      </c>
      <c r="L16" s="50">
        <f>$E16*8%</f>
        <v>80000</v>
      </c>
      <c r="M16" s="56">
        <f>$E16*12%</f>
        <v>120000</v>
      </c>
      <c r="N16" s="55">
        <f>$E16*16%</f>
        <v>160000</v>
      </c>
      <c r="O16" s="50">
        <f>$E16*18%</f>
        <v>180000</v>
      </c>
      <c r="P16" s="50">
        <f>$E16*19%</f>
        <v>190000</v>
      </c>
      <c r="Q16" s="56">
        <f>$E16*17%</f>
        <v>170000</v>
      </c>
      <c r="R16" s="53"/>
      <c r="S16" s="49"/>
      <c r="T16" s="49"/>
      <c r="U16" s="54"/>
      <c r="V16" s="53"/>
      <c r="W16" s="49"/>
      <c r="X16" s="49"/>
      <c r="Y16" s="54"/>
      <c r="Z16" s="53"/>
      <c r="AA16" s="49"/>
      <c r="AB16" s="49"/>
      <c r="AC16" s="54"/>
      <c r="AD16" s="53"/>
      <c r="AE16" s="49"/>
      <c r="AF16" s="49"/>
      <c r="AG16" s="54"/>
      <c r="AH16" s="53"/>
      <c r="AI16" s="49"/>
      <c r="AJ16" s="49"/>
      <c r="AK16" s="54"/>
      <c r="AL16" s="53"/>
      <c r="AM16" s="49"/>
      <c r="AN16" s="49"/>
      <c r="AO16" s="54"/>
      <c r="AP16" s="53"/>
      <c r="AQ16" s="49"/>
      <c r="AR16" s="49"/>
      <c r="AS16" s="54"/>
      <c r="AT16" s="53"/>
      <c r="AU16" s="49"/>
      <c r="AV16" s="49"/>
      <c r="AW16" s="54"/>
      <c r="AX16" s="53"/>
      <c r="AY16" s="49"/>
      <c r="AZ16" s="49"/>
      <c r="BA16" s="54"/>
      <c r="BB16" s="53"/>
      <c r="BC16" s="49"/>
      <c r="BD16" s="49"/>
      <c r="BE16" s="54"/>
    </row>
    <row r="17" spans="1:57" s="6" customFormat="1" ht="45" x14ac:dyDescent="0.25">
      <c r="A17" s="38">
        <v>13</v>
      </c>
      <c r="B17" s="43" t="s">
        <v>30</v>
      </c>
      <c r="C17" s="130">
        <v>41715</v>
      </c>
      <c r="D17" s="46">
        <v>41759</v>
      </c>
      <c r="E17" s="124">
        <v>300000</v>
      </c>
      <c r="F17" s="53"/>
      <c r="G17" s="49"/>
      <c r="H17" s="49"/>
      <c r="I17" s="54"/>
      <c r="J17" s="53"/>
      <c r="K17" s="49"/>
      <c r="L17" s="49"/>
      <c r="M17" s="54"/>
      <c r="N17" s="53"/>
      <c r="O17" s="49"/>
      <c r="P17" s="50">
        <f>$E17*5%</f>
        <v>15000</v>
      </c>
      <c r="Q17" s="56">
        <f>$E17*10%</f>
        <v>30000</v>
      </c>
      <c r="R17" s="52">
        <f>$E17*15%</f>
        <v>45000</v>
      </c>
      <c r="S17" s="50">
        <f>$E17*20%</f>
        <v>60000</v>
      </c>
      <c r="T17" s="50">
        <f>$E17*20%</f>
        <v>60000</v>
      </c>
      <c r="U17" s="56">
        <f>$E17*30%</f>
        <v>90000</v>
      </c>
      <c r="V17" s="53"/>
      <c r="W17" s="49"/>
      <c r="X17" s="49"/>
      <c r="Y17" s="54"/>
      <c r="Z17" s="53"/>
      <c r="AA17" s="49"/>
      <c r="AB17" s="49"/>
      <c r="AC17" s="54"/>
      <c r="AD17" s="53"/>
      <c r="AE17" s="49"/>
      <c r="AF17" s="49"/>
      <c r="AG17" s="54"/>
      <c r="AH17" s="53"/>
      <c r="AI17" s="49"/>
      <c r="AJ17" s="49"/>
      <c r="AK17" s="54"/>
      <c r="AL17" s="53"/>
      <c r="AM17" s="49"/>
      <c r="AN17" s="49"/>
      <c r="AO17" s="54"/>
      <c r="AP17" s="53"/>
      <c r="AQ17" s="49"/>
      <c r="AR17" s="49"/>
      <c r="AS17" s="54"/>
      <c r="AT17" s="53"/>
      <c r="AU17" s="49"/>
      <c r="AV17" s="49"/>
      <c r="AW17" s="54"/>
      <c r="AX17" s="53"/>
      <c r="AY17" s="49"/>
      <c r="AZ17" s="49"/>
      <c r="BA17" s="54"/>
      <c r="BB17" s="53"/>
      <c r="BC17" s="49"/>
      <c r="BD17" s="49"/>
      <c r="BE17" s="54"/>
    </row>
    <row r="18" spans="1:57" s="6" customFormat="1" ht="45" x14ac:dyDescent="0.25">
      <c r="A18" s="39">
        <v>14</v>
      </c>
      <c r="B18" s="43" t="s">
        <v>31</v>
      </c>
      <c r="C18" s="130">
        <v>41715</v>
      </c>
      <c r="D18" s="46">
        <v>41759</v>
      </c>
      <c r="E18" s="124">
        <v>500000</v>
      </c>
      <c r="F18" s="53"/>
      <c r="G18" s="49"/>
      <c r="H18" s="49"/>
      <c r="I18" s="54"/>
      <c r="J18" s="53"/>
      <c r="K18" s="49"/>
      <c r="L18" s="49"/>
      <c r="M18" s="54"/>
      <c r="N18" s="53"/>
      <c r="O18" s="49"/>
      <c r="P18" s="50">
        <f>$E18*5%</f>
        <v>25000</v>
      </c>
      <c r="Q18" s="56">
        <f>$E18*10%</f>
        <v>50000</v>
      </c>
      <c r="R18" s="52">
        <f>$E18*15%</f>
        <v>75000</v>
      </c>
      <c r="S18" s="50">
        <f>$E18*20%</f>
        <v>100000</v>
      </c>
      <c r="T18" s="50">
        <f>$E18*20%</f>
        <v>100000</v>
      </c>
      <c r="U18" s="56">
        <f>$E18*30%</f>
        <v>150000</v>
      </c>
      <c r="V18" s="53"/>
      <c r="W18" s="49"/>
      <c r="X18" s="49"/>
      <c r="Y18" s="54"/>
      <c r="Z18" s="53"/>
      <c r="AA18" s="49"/>
      <c r="AB18" s="49"/>
      <c r="AC18" s="54"/>
      <c r="AD18" s="53"/>
      <c r="AE18" s="49"/>
      <c r="AF18" s="49"/>
      <c r="AG18" s="54"/>
      <c r="AH18" s="53"/>
      <c r="AI18" s="49"/>
      <c r="AJ18" s="49"/>
      <c r="AK18" s="54"/>
      <c r="AL18" s="53"/>
      <c r="AM18" s="49"/>
      <c r="AN18" s="49"/>
      <c r="AO18" s="54"/>
      <c r="AP18" s="53"/>
      <c r="AQ18" s="49"/>
      <c r="AR18" s="49"/>
      <c r="AS18" s="54"/>
      <c r="AT18" s="53"/>
      <c r="AU18" s="49"/>
      <c r="AV18" s="49"/>
      <c r="AW18" s="54"/>
      <c r="AX18" s="53"/>
      <c r="AY18" s="49"/>
      <c r="AZ18" s="49"/>
      <c r="BA18" s="54"/>
      <c r="BB18" s="53"/>
      <c r="BC18" s="49"/>
      <c r="BD18" s="49"/>
      <c r="BE18" s="54"/>
    </row>
    <row r="19" spans="1:57" s="6" customFormat="1" ht="47.25" customHeight="1" x14ac:dyDescent="0.25">
      <c r="A19" s="38">
        <v>15</v>
      </c>
      <c r="B19" s="43" t="s">
        <v>39</v>
      </c>
      <c r="C19" s="134">
        <v>41687</v>
      </c>
      <c r="D19" s="131">
        <v>41789</v>
      </c>
      <c r="E19" s="124">
        <v>1200000</v>
      </c>
      <c r="F19" s="53"/>
      <c r="G19" s="49"/>
      <c r="H19" s="49"/>
      <c r="I19" s="54"/>
      <c r="J19" s="53"/>
      <c r="K19" s="49"/>
      <c r="L19" s="50">
        <f>$E19*1%</f>
        <v>12000</v>
      </c>
      <c r="M19" s="56">
        <f>$E19*2%</f>
        <v>24000</v>
      </c>
      <c r="N19" s="55">
        <f>$E19*3%</f>
        <v>36000</v>
      </c>
      <c r="O19" s="50">
        <f>$E19*4%</f>
        <v>48000</v>
      </c>
      <c r="P19" s="50">
        <f>$E19*5%</f>
        <v>60000</v>
      </c>
      <c r="Q19" s="56">
        <f>$E19*6%</f>
        <v>72000</v>
      </c>
      <c r="R19" s="55">
        <f>$E19*7%</f>
        <v>84000.000000000015</v>
      </c>
      <c r="S19" s="50">
        <f>$E19*8%</f>
        <v>96000</v>
      </c>
      <c r="T19" s="50">
        <f>$E19*9%</f>
        <v>108000</v>
      </c>
      <c r="U19" s="56">
        <f>$E19*10%</f>
        <v>120000</v>
      </c>
      <c r="V19" s="55">
        <f>$E19*11%</f>
        <v>132000</v>
      </c>
      <c r="W19" s="50">
        <f>$E19*11.5%</f>
        <v>138000</v>
      </c>
      <c r="X19" s="50">
        <f>$E19*12%</f>
        <v>144000</v>
      </c>
      <c r="Y19" s="56">
        <f>$E19*10.5%</f>
        <v>126000</v>
      </c>
      <c r="Z19" s="53"/>
      <c r="AA19" s="49"/>
      <c r="AB19" s="49"/>
      <c r="AC19" s="54"/>
      <c r="AD19" s="53"/>
      <c r="AE19" s="49"/>
      <c r="AF19" s="49"/>
      <c r="AG19" s="54"/>
      <c r="AH19" s="53"/>
      <c r="AI19" s="49"/>
      <c r="AJ19" s="49"/>
      <c r="AK19" s="54"/>
      <c r="AL19" s="53"/>
      <c r="AM19" s="49"/>
      <c r="AN19" s="49"/>
      <c r="AO19" s="54"/>
      <c r="AP19" s="53"/>
      <c r="AQ19" s="49"/>
      <c r="AR19" s="49"/>
      <c r="AS19" s="54"/>
      <c r="AT19" s="53"/>
      <c r="AU19" s="49"/>
      <c r="AV19" s="49"/>
      <c r="AW19" s="54"/>
      <c r="AX19" s="53"/>
      <c r="AY19" s="49"/>
      <c r="AZ19" s="49"/>
      <c r="BA19" s="54"/>
      <c r="BB19" s="53"/>
      <c r="BC19" s="49"/>
      <c r="BD19" s="49"/>
      <c r="BE19" s="54"/>
    </row>
    <row r="20" spans="1:57" s="6" customFormat="1" ht="39.75" customHeight="1" x14ac:dyDescent="0.25">
      <c r="A20" s="39">
        <v>16</v>
      </c>
      <c r="B20" s="43" t="s">
        <v>23</v>
      </c>
      <c r="C20" s="130">
        <v>41732</v>
      </c>
      <c r="D20" s="47">
        <v>41779</v>
      </c>
      <c r="E20" s="124">
        <v>5000</v>
      </c>
      <c r="F20" s="53"/>
      <c r="G20" s="49"/>
      <c r="H20" s="49"/>
      <c r="I20" s="54"/>
      <c r="J20" s="51"/>
      <c r="K20" s="49"/>
      <c r="L20" s="49"/>
      <c r="M20" s="54"/>
      <c r="N20" s="53"/>
      <c r="O20" s="49"/>
      <c r="P20" s="49"/>
      <c r="Q20" s="54"/>
      <c r="R20" s="55">
        <f>$E20*3%</f>
        <v>150</v>
      </c>
      <c r="S20" s="50">
        <f>$E20*5%</f>
        <v>250</v>
      </c>
      <c r="T20" s="50">
        <f>$E20*8%</f>
        <v>400</v>
      </c>
      <c r="U20" s="56">
        <f>$E20*15%</f>
        <v>750</v>
      </c>
      <c r="V20" s="55">
        <f>$E20*20%</f>
        <v>1000</v>
      </c>
      <c r="W20" s="50">
        <f>$E20*23%</f>
        <v>1150</v>
      </c>
      <c r="X20" s="50">
        <f>$E20*26%</f>
        <v>1300</v>
      </c>
      <c r="Y20" s="57"/>
      <c r="Z20" s="53"/>
      <c r="AA20" s="49"/>
      <c r="AB20" s="49"/>
      <c r="AC20" s="54"/>
      <c r="AD20" s="53"/>
      <c r="AE20" s="49"/>
      <c r="AF20" s="49"/>
      <c r="AG20" s="54"/>
      <c r="AH20" s="53"/>
      <c r="AI20" s="49"/>
      <c r="AJ20" s="49"/>
      <c r="AK20" s="54"/>
      <c r="AL20" s="53"/>
      <c r="AM20" s="49"/>
      <c r="AN20" s="49"/>
      <c r="AO20" s="54"/>
      <c r="AP20" s="53"/>
      <c r="AQ20" s="49"/>
      <c r="AR20" s="49"/>
      <c r="AS20" s="54"/>
      <c r="AT20" s="53"/>
      <c r="AU20" s="49"/>
      <c r="AV20" s="49"/>
      <c r="AW20" s="54"/>
      <c r="AX20" s="53"/>
      <c r="AY20" s="49"/>
      <c r="AZ20" s="49"/>
      <c r="BA20" s="54"/>
      <c r="BB20" s="53"/>
      <c r="BC20" s="49"/>
      <c r="BD20" s="49"/>
      <c r="BE20" s="54"/>
    </row>
    <row r="21" spans="1:57" s="6" customFormat="1" ht="44.25" customHeight="1" x14ac:dyDescent="0.25">
      <c r="A21" s="38">
        <v>17</v>
      </c>
      <c r="B21" s="43" t="s">
        <v>37</v>
      </c>
      <c r="C21" s="134">
        <v>41641</v>
      </c>
      <c r="D21" s="131">
        <v>41759</v>
      </c>
      <c r="E21" s="124">
        <v>950000</v>
      </c>
      <c r="F21" s="55">
        <f>$E21*0.1%</f>
        <v>950</v>
      </c>
      <c r="G21" s="50">
        <f>$E21*0.4%</f>
        <v>3800</v>
      </c>
      <c r="H21" s="50">
        <f>$E21*1%</f>
        <v>9500</v>
      </c>
      <c r="I21" s="56">
        <f>$E21*2%</f>
        <v>19000</v>
      </c>
      <c r="J21" s="55">
        <f>$E21*3%</f>
        <v>28500</v>
      </c>
      <c r="K21" s="50">
        <f>$E21*4%</f>
        <v>38000</v>
      </c>
      <c r="L21" s="50">
        <f>$E21*4.5%</f>
        <v>42750</v>
      </c>
      <c r="M21" s="56">
        <f>$E21*5%</f>
        <v>47500</v>
      </c>
      <c r="N21" s="55">
        <f>$E21*5.5%</f>
        <v>52250</v>
      </c>
      <c r="O21" s="50">
        <f>$E21*6%</f>
        <v>57000</v>
      </c>
      <c r="P21" s="50">
        <f>$E21*6.5%</f>
        <v>61750</v>
      </c>
      <c r="Q21" s="56">
        <f>$E21*7%</f>
        <v>66500</v>
      </c>
      <c r="R21" s="55">
        <f>$E21*9.5%</f>
        <v>90250</v>
      </c>
      <c r="S21" s="50">
        <f>$E21*14%</f>
        <v>133000</v>
      </c>
      <c r="T21" s="50">
        <f>$E21*15%</f>
        <v>142500</v>
      </c>
      <c r="U21" s="56">
        <f>$E21*16.5%</f>
        <v>156750</v>
      </c>
      <c r="V21" s="53"/>
      <c r="W21" s="49"/>
      <c r="X21" s="49"/>
      <c r="Y21" s="54"/>
      <c r="Z21" s="53"/>
      <c r="AA21" s="49"/>
      <c r="AB21" s="49"/>
      <c r="AC21" s="54"/>
      <c r="AD21" s="53"/>
      <c r="AE21" s="49"/>
      <c r="AF21" s="49"/>
      <c r="AG21" s="54"/>
      <c r="AH21" s="53"/>
      <c r="AI21" s="49"/>
      <c r="AJ21" s="49"/>
      <c r="AK21" s="54"/>
      <c r="AL21" s="53"/>
      <c r="AM21" s="49"/>
      <c r="AN21" s="49"/>
      <c r="AO21" s="54"/>
      <c r="AP21" s="53"/>
      <c r="AQ21" s="49"/>
      <c r="AR21" s="49"/>
      <c r="AS21" s="54"/>
      <c r="AT21" s="53"/>
      <c r="AU21" s="49"/>
      <c r="AV21" s="49"/>
      <c r="AW21" s="54"/>
      <c r="AX21" s="53"/>
      <c r="AY21" s="49"/>
      <c r="AZ21" s="49"/>
      <c r="BA21" s="54"/>
      <c r="BB21" s="53"/>
      <c r="BC21" s="49"/>
      <c r="BD21" s="49"/>
      <c r="BE21" s="54"/>
    </row>
    <row r="22" spans="1:57" s="6" customFormat="1" ht="36" customHeight="1" x14ac:dyDescent="0.25">
      <c r="A22" s="39">
        <v>18</v>
      </c>
      <c r="B22" s="43" t="s">
        <v>38</v>
      </c>
      <c r="C22" s="134">
        <v>41641</v>
      </c>
      <c r="D22" s="131">
        <v>41789</v>
      </c>
      <c r="E22" s="124">
        <v>50000</v>
      </c>
      <c r="F22" s="55">
        <f>$E22*0.1%</f>
        <v>50</v>
      </c>
      <c r="G22" s="50">
        <f>$E22*0.4%</f>
        <v>200</v>
      </c>
      <c r="H22" s="50">
        <f>$E22*1%</f>
        <v>500</v>
      </c>
      <c r="I22" s="56">
        <f>$E22*1.5%</f>
        <v>750</v>
      </c>
      <c r="J22" s="55">
        <f>$E22*2%</f>
        <v>1000</v>
      </c>
      <c r="K22" s="50">
        <f>$E22*2.5%</f>
        <v>1250</v>
      </c>
      <c r="L22" s="50">
        <f>$E22*3%</f>
        <v>1500</v>
      </c>
      <c r="M22" s="56">
        <f>$E22*3.5%</f>
        <v>1750.0000000000002</v>
      </c>
      <c r="N22" s="55">
        <f>$E22*4%</f>
        <v>2000</v>
      </c>
      <c r="O22" s="50">
        <f>$E22*4.5%</f>
        <v>2250</v>
      </c>
      <c r="P22" s="50">
        <f>$E22*5%</f>
        <v>2500</v>
      </c>
      <c r="Q22" s="56">
        <f>$E22*5.5%</f>
        <v>2750</v>
      </c>
      <c r="R22" s="55">
        <f>$E22*6%</f>
        <v>3000</v>
      </c>
      <c r="S22" s="50">
        <f>$E22*6.5%</f>
        <v>3250</v>
      </c>
      <c r="T22" s="50">
        <f>$E22*7%</f>
        <v>3500.0000000000005</v>
      </c>
      <c r="U22" s="56">
        <f>$E22*8%</f>
        <v>4000</v>
      </c>
      <c r="V22" s="55">
        <f>8.5%*$E22</f>
        <v>4250</v>
      </c>
      <c r="W22" s="50">
        <f>9%*$E22</f>
        <v>4500</v>
      </c>
      <c r="X22" s="50">
        <f>11%*$E22</f>
        <v>5500</v>
      </c>
      <c r="Y22" s="56">
        <f>11%*$E22</f>
        <v>5500</v>
      </c>
      <c r="Z22" s="53"/>
      <c r="AA22" s="49"/>
      <c r="AB22" s="49"/>
      <c r="AC22" s="54"/>
      <c r="AD22" s="53"/>
      <c r="AE22" s="49"/>
      <c r="AF22" s="49"/>
      <c r="AG22" s="54"/>
      <c r="AH22" s="53"/>
      <c r="AI22" s="49"/>
      <c r="AJ22" s="49"/>
      <c r="AK22" s="54"/>
      <c r="AL22" s="53"/>
      <c r="AM22" s="49"/>
      <c r="AN22" s="49"/>
      <c r="AO22" s="54"/>
      <c r="AP22" s="53"/>
      <c r="AQ22" s="49"/>
      <c r="AR22" s="49"/>
      <c r="AS22" s="54"/>
      <c r="AT22" s="53"/>
      <c r="AU22" s="49"/>
      <c r="AV22" s="49"/>
      <c r="AW22" s="54"/>
      <c r="AX22" s="53"/>
      <c r="AY22" s="49"/>
      <c r="AZ22" s="49"/>
      <c r="BA22" s="54"/>
      <c r="BB22" s="53"/>
      <c r="BC22" s="49"/>
      <c r="BD22" s="49"/>
      <c r="BE22" s="54"/>
    </row>
    <row r="23" spans="1:57" s="6" customFormat="1" ht="44.25" customHeight="1" thickBot="1" x14ac:dyDescent="0.3">
      <c r="A23" s="68">
        <v>19</v>
      </c>
      <c r="B23" s="45" t="s">
        <v>40</v>
      </c>
      <c r="C23" s="133">
        <v>41743</v>
      </c>
      <c r="D23" s="69">
        <v>42035</v>
      </c>
      <c r="E23" s="128">
        <v>1500000</v>
      </c>
      <c r="F23" s="70"/>
      <c r="G23" s="71"/>
      <c r="H23" s="71"/>
      <c r="I23" s="72"/>
      <c r="J23" s="73"/>
      <c r="K23" s="71"/>
      <c r="L23" s="71"/>
      <c r="M23" s="72"/>
      <c r="N23" s="70"/>
      <c r="O23" s="71"/>
      <c r="P23" s="71"/>
      <c r="Q23" s="72"/>
      <c r="R23" s="70"/>
      <c r="S23" s="71"/>
      <c r="T23" s="74">
        <f>(14*$E23/48)/10</f>
        <v>43750</v>
      </c>
      <c r="U23" s="75">
        <f>(14*$E23/48)/10+($E23/48)/3</f>
        <v>54166.666666666664</v>
      </c>
      <c r="V23" s="76">
        <f>(14*$E23/48)/10+($E23/48)/2</f>
        <v>59375</v>
      </c>
      <c r="W23" s="74">
        <f>(14*$E23/48)/10+$E23/48</f>
        <v>75000</v>
      </c>
      <c r="X23" s="74">
        <f t="shared" ref="X23:AC23" si="2">(14*$E23/48)/10+$E23/48</f>
        <v>75000</v>
      </c>
      <c r="Y23" s="75">
        <f t="shared" si="2"/>
        <v>75000</v>
      </c>
      <c r="Z23" s="74">
        <f t="shared" si="2"/>
        <v>75000</v>
      </c>
      <c r="AA23" s="74">
        <f t="shared" si="2"/>
        <v>75000</v>
      </c>
      <c r="AB23" s="74">
        <f t="shared" si="2"/>
        <v>75000</v>
      </c>
      <c r="AC23" s="74">
        <f t="shared" si="2"/>
        <v>75000</v>
      </c>
      <c r="AD23" s="76">
        <f>$E23/48</f>
        <v>31250</v>
      </c>
      <c r="AE23" s="74">
        <f t="shared" ref="AE23:BB23" si="3">$E23/48</f>
        <v>31250</v>
      </c>
      <c r="AF23" s="74">
        <f t="shared" si="3"/>
        <v>31250</v>
      </c>
      <c r="AG23" s="75">
        <f t="shared" si="3"/>
        <v>31250</v>
      </c>
      <c r="AH23" s="76">
        <f t="shared" si="3"/>
        <v>31250</v>
      </c>
      <c r="AI23" s="74">
        <f t="shared" si="3"/>
        <v>31250</v>
      </c>
      <c r="AJ23" s="74">
        <f t="shared" si="3"/>
        <v>31250</v>
      </c>
      <c r="AK23" s="75">
        <f t="shared" si="3"/>
        <v>31250</v>
      </c>
      <c r="AL23" s="76">
        <f t="shared" si="3"/>
        <v>31250</v>
      </c>
      <c r="AM23" s="74">
        <f t="shared" si="3"/>
        <v>31250</v>
      </c>
      <c r="AN23" s="74">
        <f t="shared" si="3"/>
        <v>31250</v>
      </c>
      <c r="AO23" s="75">
        <f t="shared" si="3"/>
        <v>31250</v>
      </c>
      <c r="AP23" s="76">
        <f t="shared" si="3"/>
        <v>31250</v>
      </c>
      <c r="AQ23" s="74">
        <f t="shared" si="3"/>
        <v>31250</v>
      </c>
      <c r="AR23" s="74">
        <f t="shared" si="3"/>
        <v>31250</v>
      </c>
      <c r="AS23" s="75">
        <f t="shared" si="3"/>
        <v>31250</v>
      </c>
      <c r="AT23" s="76">
        <f t="shared" si="3"/>
        <v>31250</v>
      </c>
      <c r="AU23" s="74">
        <f t="shared" si="3"/>
        <v>31250</v>
      </c>
      <c r="AV23" s="74">
        <f t="shared" si="3"/>
        <v>31250</v>
      </c>
      <c r="AW23" s="75">
        <f t="shared" si="3"/>
        <v>31250</v>
      </c>
      <c r="AX23" s="76">
        <f t="shared" si="3"/>
        <v>31250</v>
      </c>
      <c r="AY23" s="74">
        <f t="shared" si="3"/>
        <v>31250</v>
      </c>
      <c r="AZ23" s="74">
        <f t="shared" si="3"/>
        <v>31250</v>
      </c>
      <c r="BA23" s="75">
        <f t="shared" si="3"/>
        <v>31250</v>
      </c>
      <c r="BB23" s="76">
        <f t="shared" si="3"/>
        <v>31250</v>
      </c>
      <c r="BC23" s="74">
        <f>($E23/48)/2</f>
        <v>15625</v>
      </c>
      <c r="BD23" s="74">
        <f>($E23/48)/3</f>
        <v>10416.666666666666</v>
      </c>
      <c r="BE23" s="75">
        <f>($E23/48)/3</f>
        <v>10416.666666666666</v>
      </c>
    </row>
    <row r="24" spans="1:57" s="6" customFormat="1" ht="6.75" customHeight="1" thickBot="1" x14ac:dyDescent="0.3">
      <c r="A24" s="153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5"/>
    </row>
    <row r="25" spans="1:57" s="6" customFormat="1" ht="44.25" customHeight="1" x14ac:dyDescent="0.25">
      <c r="A25" s="95" t="s">
        <v>47</v>
      </c>
      <c r="B25" s="59" t="s">
        <v>42</v>
      </c>
      <c r="C25" s="98" t="s">
        <v>43</v>
      </c>
      <c r="D25" s="60" t="s">
        <v>44</v>
      </c>
      <c r="E25" s="102">
        <v>850000</v>
      </c>
      <c r="F25" s="105">
        <f>$E25*10%</f>
        <v>85000</v>
      </c>
      <c r="G25" s="90">
        <f>$E25*30%</f>
        <v>255000</v>
      </c>
      <c r="H25" s="90">
        <f>$E25*60%</f>
        <v>510000</v>
      </c>
      <c r="I25" s="93"/>
      <c r="J25" s="107"/>
      <c r="K25" s="92"/>
      <c r="L25" s="92"/>
      <c r="M25" s="108"/>
      <c r="N25" s="107"/>
      <c r="O25" s="92"/>
      <c r="P25" s="92"/>
      <c r="Q25" s="108"/>
      <c r="R25" s="105">
        <f>$E25*10%</f>
        <v>85000</v>
      </c>
      <c r="S25" s="90">
        <f>$E25*30%</f>
        <v>255000</v>
      </c>
      <c r="T25" s="90">
        <f>$E25*60%</f>
        <v>510000</v>
      </c>
      <c r="U25" s="93"/>
      <c r="V25" s="109"/>
      <c r="W25" s="91"/>
      <c r="X25" s="91"/>
      <c r="Y25" s="93"/>
      <c r="Z25" s="109"/>
      <c r="AA25" s="91"/>
      <c r="AB25" s="91"/>
      <c r="AC25" s="93"/>
      <c r="AD25" s="105">
        <f>$E25*10%</f>
        <v>85000</v>
      </c>
      <c r="AE25" s="90">
        <f>$E25*30%</f>
        <v>255000</v>
      </c>
      <c r="AF25" s="90">
        <f>$E25*60%</f>
        <v>510000</v>
      </c>
      <c r="AG25" s="93"/>
      <c r="AH25" s="109"/>
      <c r="AI25" s="91"/>
      <c r="AJ25" s="91"/>
      <c r="AK25" s="93"/>
      <c r="AL25" s="109"/>
      <c r="AM25" s="91"/>
      <c r="AN25" s="91"/>
      <c r="AO25" s="93"/>
      <c r="AP25" s="105">
        <f>$E25*10%</f>
        <v>85000</v>
      </c>
      <c r="AQ25" s="90">
        <f>$E25*30%</f>
        <v>255000</v>
      </c>
      <c r="AR25" s="90">
        <f>$E25*60%</f>
        <v>510000</v>
      </c>
      <c r="AS25" s="111"/>
      <c r="AT25" s="109"/>
      <c r="AU25" s="91"/>
      <c r="AV25" s="91"/>
      <c r="AW25" s="93"/>
      <c r="AX25" s="109"/>
      <c r="AY25" s="91"/>
      <c r="AZ25" s="91"/>
      <c r="BA25" s="93"/>
      <c r="BB25" s="105">
        <f>$E25*10%</f>
        <v>85000</v>
      </c>
      <c r="BC25" s="90">
        <f>$E25*30%</f>
        <v>255000</v>
      </c>
      <c r="BD25" s="90">
        <f>$E25*60%</f>
        <v>510000</v>
      </c>
      <c r="BE25" s="93"/>
    </row>
    <row r="26" spans="1:57" ht="47.25" customHeight="1" x14ac:dyDescent="0.25">
      <c r="A26" s="96" t="s">
        <v>48</v>
      </c>
      <c r="B26" s="43" t="s">
        <v>42</v>
      </c>
      <c r="C26" s="99" t="s">
        <v>45</v>
      </c>
      <c r="D26" s="100" t="s">
        <v>46</v>
      </c>
      <c r="E26" s="103">
        <v>50000</v>
      </c>
      <c r="F26" s="106">
        <f>$E26*10%</f>
        <v>5000</v>
      </c>
      <c r="G26" s="89">
        <f>$E26*30%</f>
        <v>15000</v>
      </c>
      <c r="H26" s="89">
        <f>$E26*60%</f>
        <v>30000</v>
      </c>
      <c r="I26" s="94"/>
      <c r="J26" s="106">
        <f t="shared" ref="J26" si="4">$E26*10%</f>
        <v>5000</v>
      </c>
      <c r="K26" s="89">
        <f t="shared" ref="K26" si="5">$E26*30%</f>
        <v>15000</v>
      </c>
      <c r="L26" s="89">
        <f t="shared" ref="L26" si="6">$E26*60%</f>
        <v>30000</v>
      </c>
      <c r="M26" s="94"/>
      <c r="N26" s="106">
        <f t="shared" ref="N26" si="7">$E26*10%</f>
        <v>5000</v>
      </c>
      <c r="O26" s="89">
        <f t="shared" ref="O26" si="8">$E26*30%</f>
        <v>15000</v>
      </c>
      <c r="P26" s="89">
        <f t="shared" ref="P26" si="9">$E26*60%</f>
        <v>30000</v>
      </c>
      <c r="Q26" s="94"/>
      <c r="R26" s="106">
        <f t="shared" ref="R26" si="10">$E26*10%</f>
        <v>5000</v>
      </c>
      <c r="S26" s="89">
        <f t="shared" ref="S26" si="11">$E26*30%</f>
        <v>15000</v>
      </c>
      <c r="T26" s="89">
        <f t="shared" ref="T26" si="12">$E26*60%</f>
        <v>30000</v>
      </c>
      <c r="U26" s="94"/>
      <c r="V26" s="106">
        <f t="shared" ref="V26" si="13">$E26*10%</f>
        <v>5000</v>
      </c>
      <c r="W26" s="89">
        <f t="shared" ref="W26" si="14">$E26*30%</f>
        <v>15000</v>
      </c>
      <c r="X26" s="89">
        <f t="shared" ref="X26" si="15">$E26*60%</f>
        <v>30000</v>
      </c>
      <c r="Y26" s="94"/>
      <c r="Z26" s="106">
        <f t="shared" ref="Z26" si="16">$E26*10%</f>
        <v>5000</v>
      </c>
      <c r="AA26" s="89">
        <f t="shared" ref="AA26" si="17">$E26*30%</f>
        <v>15000</v>
      </c>
      <c r="AB26" s="89">
        <f t="shared" ref="AB26" si="18">$E26*60%</f>
        <v>30000</v>
      </c>
      <c r="AC26" s="94"/>
      <c r="AD26" s="106">
        <f t="shared" ref="AD26:BB26" si="19">$E26*10%</f>
        <v>5000</v>
      </c>
      <c r="AE26" s="89">
        <f t="shared" ref="AE26:BC26" si="20">$E26*30%</f>
        <v>15000</v>
      </c>
      <c r="AF26" s="89">
        <f t="shared" ref="AF26:AZ26" si="21">$E26*60%</f>
        <v>30000</v>
      </c>
      <c r="AG26" s="94"/>
      <c r="AH26" s="106">
        <f t="shared" ref="AH26" si="22">$E26*10%</f>
        <v>5000</v>
      </c>
      <c r="AI26" s="89">
        <f t="shared" ref="AI26" si="23">$E26*30%</f>
        <v>15000</v>
      </c>
      <c r="AJ26" s="89">
        <f t="shared" ref="AJ26" si="24">$E26*60%</f>
        <v>30000</v>
      </c>
      <c r="AK26" s="94"/>
      <c r="AL26" s="106">
        <f t="shared" ref="AL26" si="25">$E26*10%</f>
        <v>5000</v>
      </c>
      <c r="AM26" s="89">
        <f t="shared" ref="AM26" si="26">$E26*30%</f>
        <v>15000</v>
      </c>
      <c r="AN26" s="89">
        <f t="shared" ref="AN26" si="27">$E26*60%</f>
        <v>30000</v>
      </c>
      <c r="AO26" s="94"/>
      <c r="AP26" s="106">
        <f t="shared" ref="AP26" si="28">$E26*10%</f>
        <v>5000</v>
      </c>
      <c r="AQ26" s="89">
        <f t="shared" ref="AQ26" si="29">$E26*30%</f>
        <v>15000</v>
      </c>
      <c r="AR26" s="89">
        <f t="shared" ref="AR26" si="30">$E26*60%</f>
        <v>30000</v>
      </c>
      <c r="AS26" s="112"/>
      <c r="AT26" s="106">
        <f t="shared" ref="AT26" si="31">$E26*10%</f>
        <v>5000</v>
      </c>
      <c r="AU26" s="89">
        <f t="shared" ref="AU26" si="32">$E26*30%</f>
        <v>15000</v>
      </c>
      <c r="AV26" s="89">
        <f t="shared" ref="AV26" si="33">$E26*60%</f>
        <v>30000</v>
      </c>
      <c r="AW26" s="94"/>
      <c r="AX26" s="106">
        <f t="shared" si="19"/>
        <v>5000</v>
      </c>
      <c r="AY26" s="89">
        <f t="shared" si="20"/>
        <v>15000</v>
      </c>
      <c r="AZ26" s="89">
        <f t="shared" si="21"/>
        <v>30000</v>
      </c>
      <c r="BA26" s="94"/>
      <c r="BB26" s="106">
        <f t="shared" si="19"/>
        <v>5000</v>
      </c>
      <c r="BC26" s="89">
        <f t="shared" si="20"/>
        <v>15000</v>
      </c>
      <c r="BD26" s="89">
        <f t="shared" ref="BD26" si="34">$E26*60%</f>
        <v>30000</v>
      </c>
      <c r="BE26" s="94"/>
    </row>
    <row r="27" spans="1:57" ht="47.25" customHeight="1" x14ac:dyDescent="0.25">
      <c r="A27" s="96" t="s">
        <v>49</v>
      </c>
      <c r="B27" s="43" t="s">
        <v>51</v>
      </c>
      <c r="C27" s="99" t="s">
        <v>45</v>
      </c>
      <c r="D27" s="100" t="s">
        <v>53</v>
      </c>
      <c r="E27" s="103">
        <v>120000</v>
      </c>
      <c r="F27" s="113">
        <f>$E27*5%</f>
        <v>6000</v>
      </c>
      <c r="G27" s="89">
        <f>$E27*15%</f>
        <v>18000</v>
      </c>
      <c r="H27" s="89">
        <f>$E27*30%</f>
        <v>36000</v>
      </c>
      <c r="I27" s="89">
        <f>$E27*50%</f>
        <v>60000</v>
      </c>
      <c r="J27" s="113">
        <f>$E27*5%</f>
        <v>6000</v>
      </c>
      <c r="K27" s="89">
        <f>$E27*15%</f>
        <v>18000</v>
      </c>
      <c r="L27" s="89">
        <f>$E27*30%</f>
        <v>36000</v>
      </c>
      <c r="M27" s="89">
        <f>$E27*50%</f>
        <v>60000</v>
      </c>
      <c r="N27" s="113">
        <f t="shared" ref="N27" si="35">$E27*5%</f>
        <v>6000</v>
      </c>
      <c r="O27" s="89">
        <f t="shared" ref="O27" si="36">$E27*15%</f>
        <v>18000</v>
      </c>
      <c r="P27" s="89">
        <f t="shared" ref="P27" si="37">$E27*30%</f>
        <v>36000</v>
      </c>
      <c r="Q27" s="89">
        <f t="shared" ref="Q27" si="38">$E27*50%</f>
        <v>60000</v>
      </c>
      <c r="R27" s="113">
        <f t="shared" ref="R27" si="39">$E27*5%</f>
        <v>6000</v>
      </c>
      <c r="S27" s="89">
        <f t="shared" ref="S27" si="40">$E27*15%</f>
        <v>18000</v>
      </c>
      <c r="T27" s="89">
        <f t="shared" ref="T27" si="41">$E27*30%</f>
        <v>36000</v>
      </c>
      <c r="U27" s="89">
        <f t="shared" ref="U27" si="42">$E27*50%</f>
        <v>60000</v>
      </c>
      <c r="V27" s="113">
        <f t="shared" ref="V27" si="43">$E27*5%</f>
        <v>6000</v>
      </c>
      <c r="W27" s="89">
        <f t="shared" ref="W27" si="44">$E27*15%</f>
        <v>18000</v>
      </c>
      <c r="X27" s="89">
        <f t="shared" ref="X27" si="45">$E27*30%</f>
        <v>36000</v>
      </c>
      <c r="Y27" s="89">
        <f t="shared" ref="Y27" si="46">$E27*50%</f>
        <v>60000</v>
      </c>
      <c r="Z27" s="113">
        <f t="shared" ref="Z27" si="47">$E27*5%</f>
        <v>6000</v>
      </c>
      <c r="AA27" s="89">
        <f t="shared" ref="AA27" si="48">$E27*15%</f>
        <v>18000</v>
      </c>
      <c r="AB27" s="89">
        <f t="shared" ref="AB27" si="49">$E27*30%</f>
        <v>36000</v>
      </c>
      <c r="AC27" s="110">
        <f t="shared" ref="AC27" si="50">$E27*50%</f>
        <v>60000</v>
      </c>
      <c r="AD27" s="113">
        <f t="shared" ref="AD27" si="51">$E27*5%</f>
        <v>6000</v>
      </c>
      <c r="AE27" s="89">
        <f t="shared" ref="AE27" si="52">$E27*15%</f>
        <v>18000</v>
      </c>
      <c r="AF27" s="89">
        <f t="shared" ref="AF27" si="53">$E27*30%</f>
        <v>36000</v>
      </c>
      <c r="AG27" s="89">
        <f t="shared" ref="AG27" si="54">$E27*50%</f>
        <v>60000</v>
      </c>
      <c r="AH27" s="113">
        <f t="shared" ref="AH27" si="55">$E27*5%</f>
        <v>6000</v>
      </c>
      <c r="AI27" s="89">
        <f t="shared" ref="AI27" si="56">$E27*15%</f>
        <v>18000</v>
      </c>
      <c r="AJ27" s="89">
        <f t="shared" ref="AJ27" si="57">$E27*30%</f>
        <v>36000</v>
      </c>
      <c r="AK27" s="89">
        <f t="shared" ref="AK27" si="58">$E27*50%</f>
        <v>60000</v>
      </c>
      <c r="AL27" s="113">
        <f t="shared" ref="AL27" si="59">$E27*5%</f>
        <v>6000</v>
      </c>
      <c r="AM27" s="89">
        <f t="shared" ref="AM27" si="60">$E27*15%</f>
        <v>18000</v>
      </c>
      <c r="AN27" s="89">
        <f t="shared" ref="AN27" si="61">$E27*30%</f>
        <v>36000</v>
      </c>
      <c r="AO27" s="89">
        <f t="shared" ref="AO27" si="62">$E27*50%</f>
        <v>60000</v>
      </c>
      <c r="AP27" s="113">
        <f t="shared" ref="AP27" si="63">$E27*5%</f>
        <v>6000</v>
      </c>
      <c r="AQ27" s="89">
        <f t="shared" ref="AQ27" si="64">$E27*15%</f>
        <v>18000</v>
      </c>
      <c r="AR27" s="89">
        <f t="shared" ref="AR27" si="65">$E27*30%</f>
        <v>36000</v>
      </c>
      <c r="AS27" s="89">
        <f t="shared" ref="AS27" si="66">$E27*50%</f>
        <v>60000</v>
      </c>
      <c r="AT27" s="113">
        <f t="shared" ref="AT27" si="67">$E27*5%</f>
        <v>6000</v>
      </c>
      <c r="AU27" s="89">
        <f t="shared" ref="AU27" si="68">$E27*15%</f>
        <v>18000</v>
      </c>
      <c r="AV27" s="89">
        <f t="shared" ref="AV27" si="69">$E27*30%</f>
        <v>36000</v>
      </c>
      <c r="AW27" s="89">
        <f t="shared" ref="AW27" si="70">$E27*50%</f>
        <v>60000</v>
      </c>
      <c r="AX27" s="113">
        <f t="shared" ref="AX27" si="71">$E27*5%</f>
        <v>6000</v>
      </c>
      <c r="AY27" s="89">
        <f t="shared" ref="AY27" si="72">$E27*15%</f>
        <v>18000</v>
      </c>
      <c r="AZ27" s="89">
        <f t="shared" ref="AZ27" si="73">$E27*30%</f>
        <v>36000</v>
      </c>
      <c r="BA27" s="89">
        <f t="shared" ref="BA27" si="74">$E27*50%</f>
        <v>60000</v>
      </c>
      <c r="BB27" s="113">
        <f t="shared" ref="BB27" si="75">$E27*5%</f>
        <v>6000</v>
      </c>
      <c r="BC27" s="89">
        <f t="shared" ref="BC27" si="76">$E27*15%</f>
        <v>18000</v>
      </c>
      <c r="BD27" s="89">
        <f t="shared" ref="BD27" si="77">$E27*30%</f>
        <v>36000</v>
      </c>
      <c r="BE27" s="110">
        <f t="shared" ref="BE27" si="78">$E27*50%</f>
        <v>60000</v>
      </c>
    </row>
    <row r="28" spans="1:57" ht="47.25" customHeight="1" x14ac:dyDescent="0.25">
      <c r="A28" s="96" t="s">
        <v>50</v>
      </c>
      <c r="B28" s="44" t="s">
        <v>52</v>
      </c>
      <c r="C28" s="115" t="s">
        <v>35</v>
      </c>
      <c r="D28" s="116" t="s">
        <v>35</v>
      </c>
      <c r="E28" s="117" t="s">
        <v>62</v>
      </c>
      <c r="F28" s="118"/>
      <c r="G28" s="119"/>
      <c r="H28" s="119"/>
      <c r="I28" s="119"/>
      <c r="J28" s="118"/>
      <c r="K28" s="119"/>
      <c r="L28" s="119"/>
      <c r="M28" s="119"/>
      <c r="N28" s="118"/>
      <c r="O28" s="119"/>
      <c r="P28" s="119"/>
      <c r="Q28" s="119"/>
      <c r="R28" s="118"/>
      <c r="S28" s="119"/>
      <c r="T28" s="119"/>
      <c r="U28" s="119"/>
      <c r="V28" s="118"/>
      <c r="W28" s="119"/>
      <c r="X28" s="119"/>
      <c r="Y28" s="119"/>
      <c r="Z28" s="118"/>
      <c r="AA28" s="119"/>
      <c r="AB28" s="119"/>
      <c r="AC28" s="120"/>
      <c r="AD28" s="118"/>
      <c r="AE28" s="119"/>
      <c r="AF28" s="119"/>
      <c r="AG28" s="121"/>
      <c r="AH28" s="118"/>
      <c r="AI28" s="119"/>
      <c r="AJ28" s="119"/>
      <c r="AK28" s="121"/>
      <c r="AL28" s="118"/>
      <c r="AM28" s="119"/>
      <c r="AN28" s="119"/>
      <c r="AO28" s="121"/>
      <c r="AP28" s="118"/>
      <c r="AQ28" s="119"/>
      <c r="AR28" s="119"/>
      <c r="AS28" s="121"/>
      <c r="AT28" s="118"/>
      <c r="AU28" s="119"/>
      <c r="AV28" s="119"/>
      <c r="AW28" s="121"/>
      <c r="AX28" s="118"/>
      <c r="AY28" s="119"/>
      <c r="AZ28" s="119"/>
      <c r="BA28" s="121"/>
      <c r="BB28" s="118"/>
      <c r="BC28" s="119"/>
      <c r="BD28" s="119"/>
      <c r="BE28" s="120"/>
    </row>
    <row r="29" spans="1:57" ht="47.25" customHeight="1" thickBot="1" x14ac:dyDescent="0.3">
      <c r="A29" s="97" t="s">
        <v>57</v>
      </c>
      <c r="B29" s="45" t="s">
        <v>61</v>
      </c>
      <c r="C29" s="101" t="s">
        <v>59</v>
      </c>
      <c r="D29" s="48" t="s">
        <v>60</v>
      </c>
      <c r="E29" s="104">
        <v>1000000</v>
      </c>
      <c r="F29" s="114">
        <f>$E29*1.25%+(400000*12.5%*25%)</f>
        <v>25000</v>
      </c>
      <c r="G29" s="88">
        <f>$E29*1.25%+(400000*12.5%*25%)</f>
        <v>25000</v>
      </c>
      <c r="H29" s="88">
        <f>$E29*1.25%+(400000*12.5%*25%)</f>
        <v>25000</v>
      </c>
      <c r="I29" s="88">
        <f>$E29*1.25%+(400000*12.5%*25%)</f>
        <v>25000</v>
      </c>
      <c r="J29" s="114">
        <f>$E29*1.25%+(400000*20%*25%)</f>
        <v>32500</v>
      </c>
      <c r="K29" s="88">
        <f>$E29*1.25%+(400000*20%*25%)</f>
        <v>32500</v>
      </c>
      <c r="L29" s="88">
        <f>$E29*1.25%+(400000*20%*25%)</f>
        <v>32500</v>
      </c>
      <c r="M29" s="88">
        <f>$E29*1.25%+(400000*20%*25%)</f>
        <v>32500</v>
      </c>
      <c r="N29" s="114">
        <f>$E29*1.25%+(400000*30%*25%)</f>
        <v>42500</v>
      </c>
      <c r="O29" s="88">
        <f>$E29*1.25%+(400000*30%*25%)</f>
        <v>42500</v>
      </c>
      <c r="P29" s="88">
        <f>$E29*1.25%+(400000*30%*25%)</f>
        <v>42500</v>
      </c>
      <c r="Q29" s="88">
        <f>$E29*1.25%+(400000*30%*25%)</f>
        <v>42500</v>
      </c>
      <c r="R29" s="114">
        <f>$E29*1.25%+(400000*37.5%*25%)</f>
        <v>50000</v>
      </c>
      <c r="S29" s="88">
        <f>$E29*1.25%+(400000*37.5%*25%)</f>
        <v>50000</v>
      </c>
      <c r="T29" s="88">
        <f>$E29*1.25%+(400000*37.5%*25%)</f>
        <v>50000</v>
      </c>
      <c r="U29" s="88">
        <f>$E29*1.25%+(400000*37.5%*25%)</f>
        <v>50000</v>
      </c>
      <c r="V29" s="114">
        <f>$E29*1.25%</f>
        <v>12500</v>
      </c>
      <c r="W29" s="88">
        <f>$E29*1.25%</f>
        <v>12500</v>
      </c>
      <c r="X29" s="88">
        <f>$E29*1.25%</f>
        <v>12500</v>
      </c>
      <c r="Y29" s="88">
        <f>$E29*1.25%</f>
        <v>12500</v>
      </c>
      <c r="Z29" s="114">
        <f t="shared" ref="Z29:BA29" si="79">$E29*1.25%</f>
        <v>12500</v>
      </c>
      <c r="AA29" s="88">
        <f t="shared" si="79"/>
        <v>12500</v>
      </c>
      <c r="AB29" s="88">
        <f t="shared" si="79"/>
        <v>12500</v>
      </c>
      <c r="AC29" s="88">
        <f t="shared" si="79"/>
        <v>12500</v>
      </c>
      <c r="AD29" s="114">
        <f t="shared" si="79"/>
        <v>12500</v>
      </c>
      <c r="AE29" s="88">
        <f t="shared" si="79"/>
        <v>12500</v>
      </c>
      <c r="AF29" s="88">
        <f t="shared" si="79"/>
        <v>12500</v>
      </c>
      <c r="AG29" s="88">
        <f t="shared" si="79"/>
        <v>12500</v>
      </c>
      <c r="AH29" s="114">
        <f t="shared" si="79"/>
        <v>12500</v>
      </c>
      <c r="AI29" s="88">
        <f t="shared" si="79"/>
        <v>12500</v>
      </c>
      <c r="AJ29" s="88">
        <f t="shared" si="79"/>
        <v>12500</v>
      </c>
      <c r="AK29" s="88">
        <f t="shared" si="79"/>
        <v>12500</v>
      </c>
      <c r="AL29" s="114">
        <f t="shared" si="79"/>
        <v>12500</v>
      </c>
      <c r="AM29" s="88">
        <f t="shared" si="79"/>
        <v>12500</v>
      </c>
      <c r="AN29" s="88">
        <f t="shared" si="79"/>
        <v>12500</v>
      </c>
      <c r="AO29" s="88">
        <f t="shared" si="79"/>
        <v>12500</v>
      </c>
      <c r="AP29" s="114">
        <f t="shared" si="79"/>
        <v>12500</v>
      </c>
      <c r="AQ29" s="88">
        <f t="shared" si="79"/>
        <v>12500</v>
      </c>
      <c r="AR29" s="88">
        <f t="shared" si="79"/>
        <v>12500</v>
      </c>
      <c r="AS29" s="88">
        <f t="shared" si="79"/>
        <v>12500</v>
      </c>
      <c r="AT29" s="114">
        <f t="shared" si="79"/>
        <v>12500</v>
      </c>
      <c r="AU29" s="88">
        <f t="shared" si="79"/>
        <v>12500</v>
      </c>
      <c r="AV29" s="88">
        <f t="shared" si="79"/>
        <v>12500</v>
      </c>
      <c r="AW29" s="88">
        <f t="shared" si="79"/>
        <v>12500</v>
      </c>
      <c r="AX29" s="114">
        <f t="shared" si="79"/>
        <v>12500</v>
      </c>
      <c r="AY29" s="88">
        <f t="shared" si="79"/>
        <v>12500</v>
      </c>
      <c r="AZ29" s="88">
        <f t="shared" si="79"/>
        <v>12500</v>
      </c>
      <c r="BA29" s="88">
        <f t="shared" si="79"/>
        <v>12500</v>
      </c>
      <c r="BB29" s="114">
        <f>$E29*1.25%</f>
        <v>12500</v>
      </c>
      <c r="BC29" s="88">
        <f>$E29*1.25%</f>
        <v>12500</v>
      </c>
      <c r="BD29" s="88">
        <f>$E29*1.25%</f>
        <v>12500</v>
      </c>
      <c r="BE29" s="88">
        <f>$E29*1.25%</f>
        <v>12500</v>
      </c>
    </row>
    <row r="30" spans="1:57" x14ac:dyDescent="0.25">
      <c r="B30" s="32"/>
    </row>
    <row r="31" spans="1:57" ht="35.25" customHeight="1" x14ac:dyDescent="0.25">
      <c r="B31" s="146" t="s">
        <v>63</v>
      </c>
      <c r="C31" s="146"/>
      <c r="D31" s="146"/>
      <c r="E31" s="146"/>
    </row>
  </sheetData>
  <mergeCells count="17">
    <mergeCell ref="V2:Y2"/>
    <mergeCell ref="B31:E31"/>
    <mergeCell ref="AX2:BA2"/>
    <mergeCell ref="BB2:BE2"/>
    <mergeCell ref="F4:BE4"/>
    <mergeCell ref="A24:BE24"/>
    <mergeCell ref="Z2:AC2"/>
    <mergeCell ref="AD2:AG2"/>
    <mergeCell ref="AH2:AK2"/>
    <mergeCell ref="AL2:AO2"/>
    <mergeCell ref="AP2:AS2"/>
    <mergeCell ref="AT2:AW2"/>
    <mergeCell ref="F2:I2"/>
    <mergeCell ref="J2:M2"/>
    <mergeCell ref="N2:Q2"/>
    <mergeCell ref="R2:U2"/>
    <mergeCell ref="A3:E3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Φορτία Υποβολών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Laskaridis</dc:creator>
  <cp:lastModifiedBy>Aris</cp:lastModifiedBy>
  <cp:lastPrinted>2013-12-31T16:27:59Z</cp:lastPrinted>
  <dcterms:created xsi:type="dcterms:W3CDTF">2013-12-12T13:21:46Z</dcterms:created>
  <dcterms:modified xsi:type="dcterms:W3CDTF">2013-12-31T16:30:17Z</dcterms:modified>
</cp:coreProperties>
</file>